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30" yWindow="495" windowWidth="19800" windowHeight="8370" firstSheet="1" activeTab="2"/>
  </bookViews>
  <sheets>
    <sheet name="Forma 1" sheetId="1" r:id="rId1"/>
    <sheet name="Forma 2" sheetId="2" r:id="rId2"/>
    <sheet name="Forma 3" sheetId="3" r:id="rId3"/>
    <sheet name="Forma 4" sheetId="4" r:id="rId4"/>
    <sheet name="Forma 5" sheetId="5" r:id="rId5"/>
    <sheet name="Forma 6" sheetId="6" r:id="rId6"/>
    <sheet name="Forma 11" sheetId="7" r:id="rId7"/>
    <sheet name="Forma 10" sheetId="8" r:id="rId8"/>
    <sheet name="Forma 8" sheetId="9" r:id="rId9"/>
    <sheet name="Forma 7" sheetId="10" r:id="rId10"/>
    <sheet name="Forma 9" sheetId="11"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tiekyjel1" localSheetId="10">'Forma 9'!$C$74</definedName>
    <definedName name="VAS078_D_Vandentiekyjel1">'Forma 9'!$C$74</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tiekyjel1AtaskaitinisLaikotarpis" localSheetId="10">'Forma 9'!$E$74</definedName>
    <definedName name="VAS078_F_Vandentiekyjel1AtaskaitinisLaikotarpis">'Forma 9'!$E$74</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25725"/>
</workbook>
</file>

<file path=xl/calcChain.xml><?xml version="1.0" encoding="utf-8"?>
<calcChain xmlns="http://schemas.openxmlformats.org/spreadsheetml/2006/main">
  <c r="E190" i="11"/>
  <c r="E185"/>
  <c r="E144"/>
  <c r="E130"/>
  <c r="E129" s="1"/>
  <c r="E83"/>
  <c r="E69"/>
  <c r="E62"/>
  <c r="J133" i="10"/>
  <c r="F133"/>
  <c r="J132"/>
  <c r="F132"/>
  <c r="J131"/>
  <c r="F131"/>
  <c r="J130"/>
  <c r="F130"/>
  <c r="J129"/>
  <c r="F129"/>
  <c r="J128"/>
  <c r="F128"/>
  <c r="J127"/>
  <c r="F127"/>
  <c r="J126"/>
  <c r="F126"/>
  <c r="J125"/>
  <c r="F125"/>
  <c r="J124"/>
  <c r="F124"/>
  <c r="J123"/>
  <c r="F123"/>
  <c r="J122"/>
  <c r="F122"/>
  <c r="J121"/>
  <c r="F121"/>
  <c r="J120"/>
  <c r="F120"/>
  <c r="J119"/>
  <c r="F119"/>
  <c r="P117"/>
  <c r="O117"/>
  <c r="N117"/>
  <c r="N32" s="1"/>
  <c r="M117"/>
  <c r="L117"/>
  <c r="K117"/>
  <c r="I117"/>
  <c r="H117"/>
  <c r="G117"/>
  <c r="E117"/>
  <c r="P116"/>
  <c r="O116"/>
  <c r="N116"/>
  <c r="M116"/>
  <c r="L116"/>
  <c r="K116"/>
  <c r="I116"/>
  <c r="H116"/>
  <c r="G116"/>
  <c r="E116"/>
  <c r="P115"/>
  <c r="O115"/>
  <c r="N115"/>
  <c r="M115"/>
  <c r="L115"/>
  <c r="K115"/>
  <c r="I115"/>
  <c r="H115"/>
  <c r="G115"/>
  <c r="E115"/>
  <c r="P114"/>
  <c r="O114"/>
  <c r="N114"/>
  <c r="M114"/>
  <c r="L114"/>
  <c r="K114"/>
  <c r="I114"/>
  <c r="H114"/>
  <c r="G114"/>
  <c r="E114"/>
  <c r="D114"/>
  <c r="P113"/>
  <c r="O113"/>
  <c r="N113"/>
  <c r="M113"/>
  <c r="L113"/>
  <c r="K113"/>
  <c r="I113"/>
  <c r="H113"/>
  <c r="G113"/>
  <c r="E113"/>
  <c r="P112"/>
  <c r="O112"/>
  <c r="O111" s="1"/>
  <c r="N112"/>
  <c r="M112"/>
  <c r="L112"/>
  <c r="K112"/>
  <c r="I112"/>
  <c r="H112"/>
  <c r="G112"/>
  <c r="E112"/>
  <c r="E111" s="1"/>
  <c r="G111"/>
  <c r="D111"/>
  <c r="P110"/>
  <c r="O110"/>
  <c r="N110"/>
  <c r="M110"/>
  <c r="L110"/>
  <c r="K110"/>
  <c r="I110"/>
  <c r="H110"/>
  <c r="G110"/>
  <c r="E110"/>
  <c r="P109"/>
  <c r="O109"/>
  <c r="N109"/>
  <c r="M109"/>
  <c r="L109"/>
  <c r="K109"/>
  <c r="I109"/>
  <c r="H109"/>
  <c r="G109"/>
  <c r="E109"/>
  <c r="P108"/>
  <c r="O108"/>
  <c r="N108"/>
  <c r="M108"/>
  <c r="L108"/>
  <c r="K108"/>
  <c r="I108"/>
  <c r="H108"/>
  <c r="G108"/>
  <c r="E108"/>
  <c r="D108"/>
  <c r="P107"/>
  <c r="O107"/>
  <c r="N107"/>
  <c r="M107"/>
  <c r="L107"/>
  <c r="K107"/>
  <c r="I107"/>
  <c r="I106" s="1"/>
  <c r="H107"/>
  <c r="H106" s="1"/>
  <c r="G107"/>
  <c r="E107"/>
  <c r="E106" s="1"/>
  <c r="P106"/>
  <c r="O106"/>
  <c r="N106"/>
  <c r="M106"/>
  <c r="L106"/>
  <c r="K106"/>
  <c r="D106"/>
  <c r="P105"/>
  <c r="O105"/>
  <c r="N105"/>
  <c r="M105"/>
  <c r="L105"/>
  <c r="K105"/>
  <c r="I105"/>
  <c r="H105"/>
  <c r="G105"/>
  <c r="E105"/>
  <c r="P104"/>
  <c r="O104"/>
  <c r="N104"/>
  <c r="M104"/>
  <c r="L104"/>
  <c r="K104"/>
  <c r="I104"/>
  <c r="H104"/>
  <c r="G104"/>
  <c r="E104"/>
  <c r="P103"/>
  <c r="O103"/>
  <c r="N103"/>
  <c r="M103"/>
  <c r="L103"/>
  <c r="K103"/>
  <c r="I103"/>
  <c r="H103"/>
  <c r="G103"/>
  <c r="E103"/>
  <c r="P102"/>
  <c r="O102"/>
  <c r="N102"/>
  <c r="M102"/>
  <c r="L102"/>
  <c r="K102"/>
  <c r="I102"/>
  <c r="H102"/>
  <c r="G102"/>
  <c r="E102"/>
  <c r="P101"/>
  <c r="O101"/>
  <c r="N101"/>
  <c r="M101"/>
  <c r="L101"/>
  <c r="K101"/>
  <c r="I101"/>
  <c r="H101"/>
  <c r="G101"/>
  <c r="E101"/>
  <c r="D101"/>
  <c r="P100"/>
  <c r="O100"/>
  <c r="N100"/>
  <c r="M100"/>
  <c r="L100"/>
  <c r="K100"/>
  <c r="I100"/>
  <c r="H100"/>
  <c r="G100"/>
  <c r="E100"/>
  <c r="P99"/>
  <c r="O99"/>
  <c r="N99"/>
  <c r="M99"/>
  <c r="L99"/>
  <c r="K99"/>
  <c r="I99"/>
  <c r="H99"/>
  <c r="G99"/>
  <c r="E99"/>
  <c r="P98"/>
  <c r="O98"/>
  <c r="N98"/>
  <c r="M98"/>
  <c r="L98"/>
  <c r="K98"/>
  <c r="I98"/>
  <c r="I97" s="1"/>
  <c r="H98"/>
  <c r="H97" s="1"/>
  <c r="G98"/>
  <c r="G97" s="1"/>
  <c r="E98"/>
  <c r="E97" s="1"/>
  <c r="P97"/>
  <c r="O97"/>
  <c r="N97"/>
  <c r="M97"/>
  <c r="L97"/>
  <c r="D97"/>
  <c r="D96" s="1"/>
  <c r="J95"/>
  <c r="F95"/>
  <c r="J94"/>
  <c r="F94"/>
  <c r="J93"/>
  <c r="F93"/>
  <c r="J92"/>
  <c r="F92"/>
  <c r="J91"/>
  <c r="F91"/>
  <c r="J90"/>
  <c r="F90"/>
  <c r="J89"/>
  <c r="F89"/>
  <c r="J88"/>
  <c r="F88"/>
  <c r="J87"/>
  <c r="F87"/>
  <c r="J86"/>
  <c r="F86"/>
  <c r="J85"/>
  <c r="F85"/>
  <c r="J84"/>
  <c r="F84"/>
  <c r="J83"/>
  <c r="F83"/>
  <c r="J82"/>
  <c r="F82"/>
  <c r="J81"/>
  <c r="F81"/>
  <c r="J80"/>
  <c r="F80"/>
  <c r="P78"/>
  <c r="O78"/>
  <c r="N78"/>
  <c r="M78"/>
  <c r="L78"/>
  <c r="K78"/>
  <c r="I78"/>
  <c r="H78"/>
  <c r="G78"/>
  <c r="E78"/>
  <c r="P77"/>
  <c r="P31" s="1"/>
  <c r="O77"/>
  <c r="N77"/>
  <c r="N31" s="1"/>
  <c r="M77"/>
  <c r="L77"/>
  <c r="L31" s="1"/>
  <c r="K77"/>
  <c r="K31" s="1"/>
  <c r="I77"/>
  <c r="I31" s="1"/>
  <c r="H77"/>
  <c r="H31" s="1"/>
  <c r="G77"/>
  <c r="E77"/>
  <c r="P76"/>
  <c r="O76"/>
  <c r="N76"/>
  <c r="M76"/>
  <c r="M75" s="1"/>
  <c r="L76"/>
  <c r="K76"/>
  <c r="I76"/>
  <c r="I75" s="1"/>
  <c r="H76"/>
  <c r="G76"/>
  <c r="E76"/>
  <c r="E75" s="1"/>
  <c r="P75"/>
  <c r="O75"/>
  <c r="N75"/>
  <c r="D75"/>
  <c r="P74"/>
  <c r="O74"/>
  <c r="O28" s="1"/>
  <c r="N74"/>
  <c r="M74"/>
  <c r="M28" s="1"/>
  <c r="L74"/>
  <c r="K74"/>
  <c r="I74"/>
  <c r="I28" s="1"/>
  <c r="H74"/>
  <c r="G74"/>
  <c r="E74"/>
  <c r="E28" s="1"/>
  <c r="P73"/>
  <c r="O73"/>
  <c r="N73"/>
  <c r="M73"/>
  <c r="L73"/>
  <c r="K73"/>
  <c r="I73"/>
  <c r="H73"/>
  <c r="G73"/>
  <c r="E73"/>
  <c r="P72"/>
  <c r="O72"/>
  <c r="N72"/>
  <c r="M72"/>
  <c r="L72"/>
  <c r="K72"/>
  <c r="I72"/>
  <c r="H72"/>
  <c r="G72"/>
  <c r="E72"/>
  <c r="D72"/>
  <c r="P71"/>
  <c r="P25" s="1"/>
  <c r="O71"/>
  <c r="N71"/>
  <c r="N25" s="1"/>
  <c r="M71"/>
  <c r="L71"/>
  <c r="L25" s="1"/>
  <c r="K71"/>
  <c r="I71"/>
  <c r="H71"/>
  <c r="H25" s="1"/>
  <c r="G71"/>
  <c r="E71"/>
  <c r="P70"/>
  <c r="O70"/>
  <c r="N70"/>
  <c r="M70"/>
  <c r="L70"/>
  <c r="K70"/>
  <c r="I70"/>
  <c r="I69" s="1"/>
  <c r="H70"/>
  <c r="G70"/>
  <c r="E70"/>
  <c r="E69" s="1"/>
  <c r="P69"/>
  <c r="O69"/>
  <c r="N69"/>
  <c r="M69"/>
  <c r="L69"/>
  <c r="H69"/>
  <c r="D69"/>
  <c r="P68"/>
  <c r="O68"/>
  <c r="O22" s="1"/>
  <c r="N68"/>
  <c r="M68"/>
  <c r="M22" s="1"/>
  <c r="L68"/>
  <c r="K68"/>
  <c r="I68"/>
  <c r="I22" s="1"/>
  <c r="H68"/>
  <c r="G68"/>
  <c r="E68"/>
  <c r="E22" s="1"/>
  <c r="P67"/>
  <c r="O67"/>
  <c r="N67"/>
  <c r="M67"/>
  <c r="L67"/>
  <c r="K67"/>
  <c r="I67"/>
  <c r="H67"/>
  <c r="G67"/>
  <c r="E67"/>
  <c r="P66"/>
  <c r="O66"/>
  <c r="N66"/>
  <c r="M66"/>
  <c r="L66"/>
  <c r="K66"/>
  <c r="I66"/>
  <c r="H66"/>
  <c r="G66"/>
  <c r="E66"/>
  <c r="D66"/>
  <c r="P65"/>
  <c r="P19" s="1"/>
  <c r="O65"/>
  <c r="N65"/>
  <c r="N19" s="1"/>
  <c r="M65"/>
  <c r="L65"/>
  <c r="L19" s="1"/>
  <c r="K65"/>
  <c r="I65"/>
  <c r="H65"/>
  <c r="H19" s="1"/>
  <c r="G65"/>
  <c r="E65"/>
  <c r="P64"/>
  <c r="O64"/>
  <c r="N64"/>
  <c r="M64"/>
  <c r="L64"/>
  <c r="K64"/>
  <c r="I64"/>
  <c r="H64"/>
  <c r="H18" s="1"/>
  <c r="G64"/>
  <c r="E64"/>
  <c r="E18" s="1"/>
  <c r="P63"/>
  <c r="P17" s="1"/>
  <c r="O63"/>
  <c r="N63"/>
  <c r="N17" s="1"/>
  <c r="M63"/>
  <c r="L63"/>
  <c r="L17" s="1"/>
  <c r="K63"/>
  <c r="I63"/>
  <c r="H63"/>
  <c r="H17" s="1"/>
  <c r="G63"/>
  <c r="E63"/>
  <c r="P62"/>
  <c r="O62"/>
  <c r="N62"/>
  <c r="M62"/>
  <c r="L62"/>
  <c r="K62"/>
  <c r="I62"/>
  <c r="I61" s="1"/>
  <c r="H62"/>
  <c r="H61" s="1"/>
  <c r="G62"/>
  <c r="E62"/>
  <c r="P61"/>
  <c r="O61"/>
  <c r="N61"/>
  <c r="M61"/>
  <c r="L61"/>
  <c r="K61"/>
  <c r="G61"/>
  <c r="E61"/>
  <c r="D61"/>
  <c r="P60"/>
  <c r="O60"/>
  <c r="O14" s="1"/>
  <c r="N60"/>
  <c r="M60"/>
  <c r="M14" s="1"/>
  <c r="L60"/>
  <c r="K60"/>
  <c r="I60"/>
  <c r="I14" s="1"/>
  <c r="H60"/>
  <c r="G60"/>
  <c r="E60"/>
  <c r="E14" s="1"/>
  <c r="P59"/>
  <c r="O59"/>
  <c r="N59"/>
  <c r="M59"/>
  <c r="L59"/>
  <c r="K59"/>
  <c r="I59"/>
  <c r="H59"/>
  <c r="G59"/>
  <c r="E59"/>
  <c r="P58"/>
  <c r="O58"/>
  <c r="O12" s="1"/>
  <c r="N58"/>
  <c r="M58"/>
  <c r="M12" s="1"/>
  <c r="L58"/>
  <c r="K58"/>
  <c r="I58"/>
  <c r="I12" s="1"/>
  <c r="H58"/>
  <c r="G58"/>
  <c r="E58"/>
  <c r="E12" s="1"/>
  <c r="P57"/>
  <c r="O57"/>
  <c r="N57"/>
  <c r="M57"/>
  <c r="L57"/>
  <c r="K57"/>
  <c r="I57"/>
  <c r="H57"/>
  <c r="G57"/>
  <c r="E57"/>
  <c r="D57"/>
  <c r="J55"/>
  <c r="F55"/>
  <c r="J54"/>
  <c r="F54"/>
  <c r="J53"/>
  <c r="F53"/>
  <c r="P52"/>
  <c r="O52"/>
  <c r="N52"/>
  <c r="M52"/>
  <c r="L52"/>
  <c r="K52"/>
  <c r="I52"/>
  <c r="H52"/>
  <c r="G52"/>
  <c r="E52"/>
  <c r="J51"/>
  <c r="F51"/>
  <c r="J50"/>
  <c r="F50"/>
  <c r="P49"/>
  <c r="O49"/>
  <c r="N49"/>
  <c r="M49"/>
  <c r="L49"/>
  <c r="K49"/>
  <c r="I49"/>
  <c r="H49"/>
  <c r="G49"/>
  <c r="E49"/>
  <c r="J48"/>
  <c r="F48"/>
  <c r="J47"/>
  <c r="F47"/>
  <c r="P46"/>
  <c r="O46"/>
  <c r="N46"/>
  <c r="M46"/>
  <c r="L46"/>
  <c r="K46"/>
  <c r="I46"/>
  <c r="H46"/>
  <c r="G46"/>
  <c r="E46"/>
  <c r="J45"/>
  <c r="F45"/>
  <c r="J44"/>
  <c r="F44"/>
  <c r="P43"/>
  <c r="O43"/>
  <c r="N43"/>
  <c r="M43"/>
  <c r="L43"/>
  <c r="K43"/>
  <c r="I43"/>
  <c r="H43"/>
  <c r="G43"/>
  <c r="E43"/>
  <c r="J42"/>
  <c r="F42"/>
  <c r="J41"/>
  <c r="F41"/>
  <c r="J40"/>
  <c r="F40"/>
  <c r="J39"/>
  <c r="F39"/>
  <c r="P38"/>
  <c r="O38"/>
  <c r="N38"/>
  <c r="M38"/>
  <c r="L38"/>
  <c r="K38"/>
  <c r="I38"/>
  <c r="H38"/>
  <c r="G38"/>
  <c r="E38"/>
  <c r="J37"/>
  <c r="F37"/>
  <c r="J36"/>
  <c r="F36"/>
  <c r="J35"/>
  <c r="F35"/>
  <c r="P34"/>
  <c r="O34"/>
  <c r="N34"/>
  <c r="M34"/>
  <c r="L34"/>
  <c r="K34"/>
  <c r="K33" s="1"/>
  <c r="I34"/>
  <c r="H34"/>
  <c r="H33" s="1"/>
  <c r="G34"/>
  <c r="E34"/>
  <c r="I33"/>
  <c r="P32"/>
  <c r="L32"/>
  <c r="H32"/>
  <c r="O31"/>
  <c r="M31"/>
  <c r="G31"/>
  <c r="E31"/>
  <c r="P30"/>
  <c r="N30"/>
  <c r="L30"/>
  <c r="H30"/>
  <c r="P28"/>
  <c r="N28"/>
  <c r="L28"/>
  <c r="H28"/>
  <c r="O27"/>
  <c r="O26" s="1"/>
  <c r="M27"/>
  <c r="M26" s="1"/>
  <c r="K27"/>
  <c r="I27"/>
  <c r="I26" s="1"/>
  <c r="G27"/>
  <c r="E27"/>
  <c r="O25"/>
  <c r="M25"/>
  <c r="K25"/>
  <c r="I25"/>
  <c r="G25"/>
  <c r="E25"/>
  <c r="P24"/>
  <c r="P23" s="1"/>
  <c r="N24"/>
  <c r="N23" s="1"/>
  <c r="L24"/>
  <c r="L23" s="1"/>
  <c r="P22"/>
  <c r="N22"/>
  <c r="L22"/>
  <c r="H22"/>
  <c r="P21"/>
  <c r="O21"/>
  <c r="O20" s="1"/>
  <c r="N21"/>
  <c r="M21"/>
  <c r="L21"/>
  <c r="L20" s="1"/>
  <c r="K21"/>
  <c r="I21"/>
  <c r="H21"/>
  <c r="G21"/>
  <c r="E21"/>
  <c r="P20"/>
  <c r="H20"/>
  <c r="O19"/>
  <c r="M19"/>
  <c r="K19"/>
  <c r="I19"/>
  <c r="G19"/>
  <c r="E19"/>
  <c r="P18"/>
  <c r="O18"/>
  <c r="N18"/>
  <c r="M18"/>
  <c r="L18"/>
  <c r="I18"/>
  <c r="G18"/>
  <c r="O17"/>
  <c r="K17"/>
  <c r="I17"/>
  <c r="G17"/>
  <c r="P16"/>
  <c r="N16"/>
  <c r="L16"/>
  <c r="H16"/>
  <c r="G16"/>
  <c r="E16"/>
  <c r="N14"/>
  <c r="H14"/>
  <c r="O13"/>
  <c r="M13"/>
  <c r="K13"/>
  <c r="H13"/>
  <c r="E13"/>
  <c r="N12"/>
  <c r="H12"/>
  <c r="E80" i="9"/>
  <c r="E76"/>
  <c r="E69"/>
  <c r="E68"/>
  <c r="E52"/>
  <c r="E49"/>
  <c r="E39"/>
  <c r="E38" s="1"/>
  <c r="E32"/>
  <c r="E30"/>
  <c r="E29"/>
  <c r="E28"/>
  <c r="E26"/>
  <c r="E62" s="1"/>
  <c r="E17"/>
  <c r="E16"/>
  <c r="E27" s="1"/>
  <c r="E34" i="8"/>
  <c r="E33" s="1"/>
  <c r="E32"/>
  <c r="E31" s="1"/>
  <c r="E17"/>
  <c r="E13"/>
  <c r="E12" s="1"/>
  <c r="E40" s="1"/>
  <c r="E55" i="7"/>
  <c r="E54" s="1"/>
  <c r="E53"/>
  <c r="E51"/>
  <c r="E49"/>
  <c r="E48"/>
  <c r="E47"/>
  <c r="E46"/>
  <c r="E43" s="1"/>
  <c r="E45"/>
  <c r="E44"/>
  <c r="E36"/>
  <c r="E35"/>
  <c r="E34"/>
  <c r="E33"/>
  <c r="E32"/>
  <c r="E31"/>
  <c r="E30"/>
  <c r="E29"/>
  <c r="E28"/>
  <c r="E27" s="1"/>
  <c r="E41" s="1"/>
  <c r="E19"/>
  <c r="E11"/>
  <c r="E10"/>
  <c r="J133" i="6"/>
  <c r="F133"/>
  <c r="J132"/>
  <c r="F132"/>
  <c r="J131"/>
  <c r="F131"/>
  <c r="J130"/>
  <c r="F130"/>
  <c r="J129"/>
  <c r="F129"/>
  <c r="J128"/>
  <c r="F128"/>
  <c r="J127"/>
  <c r="F127"/>
  <c r="J126"/>
  <c r="F126"/>
  <c r="J125"/>
  <c r="F125"/>
  <c r="J124"/>
  <c r="F124"/>
  <c r="J123"/>
  <c r="F123"/>
  <c r="J122"/>
  <c r="F122"/>
  <c r="J121"/>
  <c r="F121"/>
  <c r="J120"/>
  <c r="F120"/>
  <c r="J119"/>
  <c r="F119"/>
  <c r="P117"/>
  <c r="O117"/>
  <c r="N117"/>
  <c r="M117"/>
  <c r="L117"/>
  <c r="K117"/>
  <c r="I117"/>
  <c r="H117"/>
  <c r="G117"/>
  <c r="E117"/>
  <c r="P116"/>
  <c r="O116"/>
  <c r="N116"/>
  <c r="M116"/>
  <c r="L116"/>
  <c r="K116"/>
  <c r="I116"/>
  <c r="H116"/>
  <c r="G116"/>
  <c r="E116"/>
  <c r="P115"/>
  <c r="O115"/>
  <c r="N115"/>
  <c r="M115"/>
  <c r="L115"/>
  <c r="K115"/>
  <c r="I115"/>
  <c r="I114" s="1"/>
  <c r="H115"/>
  <c r="G115"/>
  <c r="E115"/>
  <c r="P114"/>
  <c r="O114"/>
  <c r="N114"/>
  <c r="M114"/>
  <c r="L114"/>
  <c r="H114"/>
  <c r="D114"/>
  <c r="P113"/>
  <c r="O113"/>
  <c r="N113"/>
  <c r="M113"/>
  <c r="L113"/>
  <c r="K113"/>
  <c r="I113"/>
  <c r="H113"/>
  <c r="G113"/>
  <c r="E113"/>
  <c r="P112"/>
  <c r="O112"/>
  <c r="N112"/>
  <c r="M112"/>
  <c r="L112"/>
  <c r="K112"/>
  <c r="I112"/>
  <c r="H112"/>
  <c r="G112"/>
  <c r="E112"/>
  <c r="P111"/>
  <c r="O111"/>
  <c r="N111"/>
  <c r="M111"/>
  <c r="L111"/>
  <c r="K111"/>
  <c r="I111"/>
  <c r="H111"/>
  <c r="G111"/>
  <c r="E111"/>
  <c r="D111"/>
  <c r="P110"/>
  <c r="O110"/>
  <c r="O25" s="1"/>
  <c r="N110"/>
  <c r="M110"/>
  <c r="M25" s="1"/>
  <c r="L110"/>
  <c r="K110"/>
  <c r="K25" s="1"/>
  <c r="I110"/>
  <c r="H110"/>
  <c r="H25" s="1"/>
  <c r="G110"/>
  <c r="E110"/>
  <c r="E25" s="1"/>
  <c r="P109"/>
  <c r="O109"/>
  <c r="N109"/>
  <c r="M109"/>
  <c r="L109"/>
  <c r="K109"/>
  <c r="I109"/>
  <c r="I108" s="1"/>
  <c r="H109"/>
  <c r="G109"/>
  <c r="E109"/>
  <c r="P108"/>
  <c r="O108"/>
  <c r="N108"/>
  <c r="M108"/>
  <c r="L108"/>
  <c r="H108"/>
  <c r="G108"/>
  <c r="E108"/>
  <c r="D108"/>
  <c r="P107"/>
  <c r="O107"/>
  <c r="N107"/>
  <c r="M107"/>
  <c r="L107"/>
  <c r="K107"/>
  <c r="I107"/>
  <c r="H107"/>
  <c r="G107"/>
  <c r="E107"/>
  <c r="P106"/>
  <c r="O106"/>
  <c r="N106"/>
  <c r="M106"/>
  <c r="L106"/>
  <c r="K106"/>
  <c r="I106"/>
  <c r="H106"/>
  <c r="G106"/>
  <c r="E106"/>
  <c r="D106"/>
  <c r="P105"/>
  <c r="O105"/>
  <c r="N105"/>
  <c r="M105"/>
  <c r="L105"/>
  <c r="K105"/>
  <c r="I105"/>
  <c r="H105"/>
  <c r="G105"/>
  <c r="E105"/>
  <c r="P104"/>
  <c r="O104"/>
  <c r="N104"/>
  <c r="M104"/>
  <c r="L104"/>
  <c r="K104"/>
  <c r="I104"/>
  <c r="H104"/>
  <c r="G104"/>
  <c r="E104"/>
  <c r="P103"/>
  <c r="O103"/>
  <c r="N103"/>
  <c r="M103"/>
  <c r="L103"/>
  <c r="K103"/>
  <c r="I103"/>
  <c r="H103"/>
  <c r="G103"/>
  <c r="E103"/>
  <c r="P102"/>
  <c r="O102"/>
  <c r="N102"/>
  <c r="M102"/>
  <c r="L102"/>
  <c r="K102"/>
  <c r="I102"/>
  <c r="I101" s="1"/>
  <c r="H102"/>
  <c r="G102"/>
  <c r="E102"/>
  <c r="P101"/>
  <c r="O101"/>
  <c r="N101"/>
  <c r="M101"/>
  <c r="L101"/>
  <c r="H101"/>
  <c r="D101"/>
  <c r="P100"/>
  <c r="O100"/>
  <c r="N100"/>
  <c r="M100"/>
  <c r="L100"/>
  <c r="K100"/>
  <c r="I100"/>
  <c r="H100"/>
  <c r="G100"/>
  <c r="E100"/>
  <c r="P99"/>
  <c r="O99"/>
  <c r="N99"/>
  <c r="M99"/>
  <c r="L99"/>
  <c r="K99"/>
  <c r="I99"/>
  <c r="H99"/>
  <c r="G99"/>
  <c r="E99"/>
  <c r="P98"/>
  <c r="O98"/>
  <c r="N98"/>
  <c r="M98"/>
  <c r="L98"/>
  <c r="K98"/>
  <c r="I98"/>
  <c r="H98"/>
  <c r="G98"/>
  <c r="E98"/>
  <c r="P97"/>
  <c r="O97"/>
  <c r="N97"/>
  <c r="M97"/>
  <c r="L97"/>
  <c r="K97"/>
  <c r="I97"/>
  <c r="H97"/>
  <c r="G97"/>
  <c r="E97"/>
  <c r="D97"/>
  <c r="D96" s="1"/>
  <c r="J95"/>
  <c r="F95"/>
  <c r="J94"/>
  <c r="F94"/>
  <c r="J93"/>
  <c r="F93"/>
  <c r="J92"/>
  <c r="F92"/>
  <c r="J91"/>
  <c r="F91"/>
  <c r="J90"/>
  <c r="F90"/>
  <c r="J89"/>
  <c r="F89"/>
  <c r="J88"/>
  <c r="F88"/>
  <c r="J87"/>
  <c r="F87"/>
  <c r="J86"/>
  <c r="F86"/>
  <c r="J85"/>
  <c r="F85"/>
  <c r="J84"/>
  <c r="F84"/>
  <c r="J83"/>
  <c r="F83"/>
  <c r="J82"/>
  <c r="F82"/>
  <c r="J81"/>
  <c r="F81"/>
  <c r="J80"/>
  <c r="F80"/>
  <c r="P78"/>
  <c r="O78"/>
  <c r="N78"/>
  <c r="M78"/>
  <c r="L78"/>
  <c r="K78"/>
  <c r="I78"/>
  <c r="H78"/>
  <c r="G78"/>
  <c r="E78"/>
  <c r="E32" s="1"/>
  <c r="P77"/>
  <c r="O77"/>
  <c r="N77"/>
  <c r="M77"/>
  <c r="L77"/>
  <c r="K77"/>
  <c r="I77"/>
  <c r="H77"/>
  <c r="G77"/>
  <c r="E77"/>
  <c r="P76"/>
  <c r="O76"/>
  <c r="N76"/>
  <c r="M76"/>
  <c r="L76"/>
  <c r="K76"/>
  <c r="I76"/>
  <c r="H76"/>
  <c r="G76"/>
  <c r="E76"/>
  <c r="P75"/>
  <c r="O75"/>
  <c r="N75"/>
  <c r="M75"/>
  <c r="L75"/>
  <c r="K75"/>
  <c r="I75"/>
  <c r="H75"/>
  <c r="G75"/>
  <c r="E75"/>
  <c r="D75"/>
  <c r="P74"/>
  <c r="O74"/>
  <c r="O28" s="1"/>
  <c r="N74"/>
  <c r="M74"/>
  <c r="L74"/>
  <c r="K74"/>
  <c r="I74"/>
  <c r="H74"/>
  <c r="G74"/>
  <c r="E74"/>
  <c r="P73"/>
  <c r="P72" s="1"/>
  <c r="O73"/>
  <c r="O72" s="1"/>
  <c r="N73"/>
  <c r="N72" s="1"/>
  <c r="M73"/>
  <c r="M72" s="1"/>
  <c r="L73"/>
  <c r="K73"/>
  <c r="I73"/>
  <c r="H73"/>
  <c r="G73"/>
  <c r="E73"/>
  <c r="E72" s="1"/>
  <c r="L72"/>
  <c r="K72"/>
  <c r="I72"/>
  <c r="D72"/>
  <c r="P71"/>
  <c r="O71"/>
  <c r="N71"/>
  <c r="M71"/>
  <c r="L71"/>
  <c r="K71"/>
  <c r="I71"/>
  <c r="H71"/>
  <c r="G71"/>
  <c r="E71"/>
  <c r="P70"/>
  <c r="O70"/>
  <c r="N70"/>
  <c r="M70"/>
  <c r="L70"/>
  <c r="K70"/>
  <c r="I70"/>
  <c r="I69" s="1"/>
  <c r="H70"/>
  <c r="H69" s="1"/>
  <c r="G70"/>
  <c r="G69" s="1"/>
  <c r="E70"/>
  <c r="E69" s="1"/>
  <c r="P69"/>
  <c r="O69"/>
  <c r="N69"/>
  <c r="M69"/>
  <c r="L69"/>
  <c r="D69"/>
  <c r="P68"/>
  <c r="O68"/>
  <c r="N68"/>
  <c r="M68"/>
  <c r="L68"/>
  <c r="K68"/>
  <c r="I68"/>
  <c r="H68"/>
  <c r="G68"/>
  <c r="E68"/>
  <c r="P67"/>
  <c r="P66" s="1"/>
  <c r="O67"/>
  <c r="O66" s="1"/>
  <c r="N67"/>
  <c r="N66" s="1"/>
  <c r="M67"/>
  <c r="M66" s="1"/>
  <c r="L67"/>
  <c r="K67"/>
  <c r="I67"/>
  <c r="H67"/>
  <c r="G67"/>
  <c r="E67"/>
  <c r="E66" s="1"/>
  <c r="L66"/>
  <c r="K66"/>
  <c r="I66"/>
  <c r="D66"/>
  <c r="P65"/>
  <c r="O65"/>
  <c r="N65"/>
  <c r="M65"/>
  <c r="L65"/>
  <c r="K65"/>
  <c r="I65"/>
  <c r="H65"/>
  <c r="G65"/>
  <c r="E65"/>
  <c r="P64"/>
  <c r="O64"/>
  <c r="N64"/>
  <c r="M64"/>
  <c r="L64"/>
  <c r="K64"/>
  <c r="I64"/>
  <c r="H64"/>
  <c r="G64"/>
  <c r="E64"/>
  <c r="P63"/>
  <c r="O63"/>
  <c r="N63"/>
  <c r="M63"/>
  <c r="L63"/>
  <c r="K63"/>
  <c r="I63"/>
  <c r="H63"/>
  <c r="G63"/>
  <c r="E63"/>
  <c r="P62"/>
  <c r="O62"/>
  <c r="N62"/>
  <c r="M62"/>
  <c r="L62"/>
  <c r="K62"/>
  <c r="I62"/>
  <c r="H62"/>
  <c r="G62"/>
  <c r="E62"/>
  <c r="P61"/>
  <c r="O61"/>
  <c r="N61"/>
  <c r="M61"/>
  <c r="L61"/>
  <c r="K61"/>
  <c r="I61"/>
  <c r="H61"/>
  <c r="G61"/>
  <c r="E61"/>
  <c r="D61"/>
  <c r="P60"/>
  <c r="O60"/>
  <c r="N60"/>
  <c r="M60"/>
  <c r="L60"/>
  <c r="K60"/>
  <c r="I60"/>
  <c r="H60"/>
  <c r="G60"/>
  <c r="E60"/>
  <c r="P59"/>
  <c r="O59"/>
  <c r="N59"/>
  <c r="M59"/>
  <c r="L59"/>
  <c r="K59"/>
  <c r="I59"/>
  <c r="H59"/>
  <c r="G59"/>
  <c r="E59"/>
  <c r="P58"/>
  <c r="O58"/>
  <c r="O12" s="1"/>
  <c r="N58"/>
  <c r="M58"/>
  <c r="L58"/>
  <c r="K58"/>
  <c r="K12" s="1"/>
  <c r="I58"/>
  <c r="I57" s="1"/>
  <c r="H58"/>
  <c r="H57" s="1"/>
  <c r="G58"/>
  <c r="E58"/>
  <c r="E12" s="1"/>
  <c r="P57"/>
  <c r="O57"/>
  <c r="N57"/>
  <c r="M57"/>
  <c r="L57"/>
  <c r="D57"/>
  <c r="D56" s="1"/>
  <c r="J55"/>
  <c r="F55"/>
  <c r="J54"/>
  <c r="F54"/>
  <c r="J53"/>
  <c r="F53"/>
  <c r="P52"/>
  <c r="O52"/>
  <c r="N52"/>
  <c r="M52"/>
  <c r="L52"/>
  <c r="K52"/>
  <c r="I52"/>
  <c r="H52"/>
  <c r="G52"/>
  <c r="E52"/>
  <c r="J51"/>
  <c r="F51"/>
  <c r="J50"/>
  <c r="F50"/>
  <c r="P49"/>
  <c r="O49"/>
  <c r="N49"/>
  <c r="M49"/>
  <c r="L49"/>
  <c r="K49"/>
  <c r="I49"/>
  <c r="H49"/>
  <c r="G49"/>
  <c r="E49"/>
  <c r="J48"/>
  <c r="F48"/>
  <c r="J47"/>
  <c r="F47"/>
  <c r="P46"/>
  <c r="O46"/>
  <c r="N46"/>
  <c r="M46"/>
  <c r="L46"/>
  <c r="K46"/>
  <c r="I46"/>
  <c r="H46"/>
  <c r="G46"/>
  <c r="E46"/>
  <c r="J45"/>
  <c r="F45"/>
  <c r="J44"/>
  <c r="F44"/>
  <c r="P43"/>
  <c r="O43"/>
  <c r="N43"/>
  <c r="M43"/>
  <c r="L43"/>
  <c r="K43"/>
  <c r="I43"/>
  <c r="H43"/>
  <c r="G43"/>
  <c r="E43"/>
  <c r="J42"/>
  <c r="F42"/>
  <c r="J41"/>
  <c r="F41"/>
  <c r="J40"/>
  <c r="F40"/>
  <c r="J39"/>
  <c r="F39"/>
  <c r="P38"/>
  <c r="O38"/>
  <c r="N38"/>
  <c r="M38"/>
  <c r="L38"/>
  <c r="K38"/>
  <c r="I38"/>
  <c r="H38"/>
  <c r="G38"/>
  <c r="E38"/>
  <c r="J37"/>
  <c r="F37"/>
  <c r="J36"/>
  <c r="F36"/>
  <c r="J35"/>
  <c r="F35"/>
  <c r="P34"/>
  <c r="O34"/>
  <c r="O33" s="1"/>
  <c r="N34"/>
  <c r="M34"/>
  <c r="M33" s="1"/>
  <c r="L34"/>
  <c r="L33" s="1"/>
  <c r="K34"/>
  <c r="I34"/>
  <c r="I33" s="1"/>
  <c r="H34"/>
  <c r="H33" s="1"/>
  <c r="G34"/>
  <c r="E34"/>
  <c r="P33"/>
  <c r="P32"/>
  <c r="O32"/>
  <c r="N32"/>
  <c r="M32"/>
  <c r="L32"/>
  <c r="K32"/>
  <c r="I32"/>
  <c r="H32"/>
  <c r="G32"/>
  <c r="P31"/>
  <c r="O31"/>
  <c r="N31"/>
  <c r="M31"/>
  <c r="L31"/>
  <c r="K31"/>
  <c r="I31"/>
  <c r="H31"/>
  <c r="G31"/>
  <c r="E31"/>
  <c r="P30"/>
  <c r="O30"/>
  <c r="N30"/>
  <c r="M30"/>
  <c r="L30"/>
  <c r="K30"/>
  <c r="I30"/>
  <c r="H30"/>
  <c r="G30"/>
  <c r="E30"/>
  <c r="P28"/>
  <c r="N28"/>
  <c r="M28"/>
  <c r="L28"/>
  <c r="K28"/>
  <c r="I28"/>
  <c r="H28"/>
  <c r="G28"/>
  <c r="E28"/>
  <c r="P27"/>
  <c r="O27"/>
  <c r="N27"/>
  <c r="N26" s="1"/>
  <c r="M27"/>
  <c r="L27"/>
  <c r="L26" s="1"/>
  <c r="K27"/>
  <c r="K26" s="1"/>
  <c r="I27"/>
  <c r="I26" s="1"/>
  <c r="H27"/>
  <c r="H26" s="1"/>
  <c r="G27"/>
  <c r="E27"/>
  <c r="P25"/>
  <c r="N25"/>
  <c r="L25"/>
  <c r="I25"/>
  <c r="G25"/>
  <c r="P24"/>
  <c r="O24"/>
  <c r="N24"/>
  <c r="N23" s="1"/>
  <c r="M24"/>
  <c r="L24"/>
  <c r="K24"/>
  <c r="H24"/>
  <c r="E24"/>
  <c r="P22"/>
  <c r="O22"/>
  <c r="N22"/>
  <c r="M22"/>
  <c r="L22"/>
  <c r="K22"/>
  <c r="I22"/>
  <c r="H22"/>
  <c r="G22"/>
  <c r="E22"/>
  <c r="P21"/>
  <c r="O21"/>
  <c r="O20" s="1"/>
  <c r="N21"/>
  <c r="N20" s="1"/>
  <c r="M21"/>
  <c r="L21"/>
  <c r="L20" s="1"/>
  <c r="K21"/>
  <c r="K20" s="1"/>
  <c r="I21"/>
  <c r="I20" s="1"/>
  <c r="H21"/>
  <c r="H20" s="1"/>
  <c r="G21"/>
  <c r="E21"/>
  <c r="P19"/>
  <c r="O19"/>
  <c r="N19"/>
  <c r="M19"/>
  <c r="L19"/>
  <c r="K19"/>
  <c r="I19"/>
  <c r="H19"/>
  <c r="G19"/>
  <c r="E19"/>
  <c r="P18"/>
  <c r="O18"/>
  <c r="N18"/>
  <c r="M18"/>
  <c r="L18"/>
  <c r="K18"/>
  <c r="I18"/>
  <c r="H18"/>
  <c r="G18"/>
  <c r="E18"/>
  <c r="P17"/>
  <c r="O17"/>
  <c r="N17"/>
  <c r="M17"/>
  <c r="L17"/>
  <c r="K17"/>
  <c r="I17"/>
  <c r="H17"/>
  <c r="E17"/>
  <c r="P16"/>
  <c r="O16"/>
  <c r="N16"/>
  <c r="M16"/>
  <c r="L16"/>
  <c r="K16"/>
  <c r="I16"/>
  <c r="H16"/>
  <c r="G16"/>
  <c r="E16"/>
  <c r="P14"/>
  <c r="O14"/>
  <c r="N14"/>
  <c r="M14"/>
  <c r="L14"/>
  <c r="K14"/>
  <c r="I14"/>
  <c r="H14"/>
  <c r="G14"/>
  <c r="E14"/>
  <c r="O13"/>
  <c r="M13"/>
  <c r="K13"/>
  <c r="H13"/>
  <c r="E13"/>
  <c r="P12"/>
  <c r="N12"/>
  <c r="L12"/>
  <c r="I12"/>
  <c r="G12"/>
  <c r="D11" i="5"/>
  <c r="D230" i="4"/>
  <c r="D213"/>
  <c r="D210"/>
  <c r="D206"/>
  <c r="D201"/>
  <c r="D194"/>
  <c r="D192"/>
  <c r="D189"/>
  <c r="D187"/>
  <c r="J185"/>
  <c r="F185"/>
  <c r="J184"/>
  <c r="F184"/>
  <c r="J183"/>
  <c r="F183"/>
  <c r="J182"/>
  <c r="F182"/>
  <c r="J181"/>
  <c r="F181"/>
  <c r="J180"/>
  <c r="F180"/>
  <c r="J179"/>
  <c r="F179"/>
  <c r="J178"/>
  <c r="F178"/>
  <c r="J177"/>
  <c r="F177"/>
  <c r="J176"/>
  <c r="F176"/>
  <c r="J175"/>
  <c r="F175"/>
  <c r="J174"/>
  <c r="F174"/>
  <c r="J173"/>
  <c r="F173"/>
  <c r="J172"/>
  <c r="F172"/>
  <c r="J171"/>
  <c r="F171"/>
  <c r="J170"/>
  <c r="F170"/>
  <c r="J168"/>
  <c r="F168"/>
  <c r="J167"/>
  <c r="F167"/>
  <c r="J165"/>
  <c r="F165"/>
  <c r="J164"/>
  <c r="F164"/>
  <c r="J163"/>
  <c r="F163"/>
  <c r="J161"/>
  <c r="F161"/>
  <c r="J160"/>
  <c r="F160"/>
  <c r="J159"/>
  <c r="F159"/>
  <c r="J158"/>
  <c r="F158"/>
  <c r="J156"/>
  <c r="F156"/>
  <c r="J155"/>
  <c r="F155"/>
  <c r="J154"/>
  <c r="F154"/>
  <c r="J153"/>
  <c r="F153"/>
  <c r="J152"/>
  <c r="F152"/>
  <c r="F101" s="1"/>
  <c r="J151"/>
  <c r="F151"/>
  <c r="J149"/>
  <c r="F149"/>
  <c r="J147"/>
  <c r="F147"/>
  <c r="J146"/>
  <c r="F146"/>
  <c r="J144"/>
  <c r="F144"/>
  <c r="J143"/>
  <c r="F143"/>
  <c r="P140"/>
  <c r="O140"/>
  <c r="N140"/>
  <c r="M140"/>
  <c r="L140"/>
  <c r="K140"/>
  <c r="I140"/>
  <c r="H140"/>
  <c r="G140"/>
  <c r="E140"/>
  <c r="P139"/>
  <c r="O139"/>
  <c r="N139"/>
  <c r="M139"/>
  <c r="L139"/>
  <c r="K139"/>
  <c r="I139"/>
  <c r="H139"/>
  <c r="G139"/>
  <c r="E139"/>
  <c r="P138"/>
  <c r="O138"/>
  <c r="N138"/>
  <c r="M138"/>
  <c r="L138"/>
  <c r="K138"/>
  <c r="I138"/>
  <c r="H138"/>
  <c r="G138"/>
  <c r="E138"/>
  <c r="P137"/>
  <c r="O137"/>
  <c r="N137"/>
  <c r="M137"/>
  <c r="L137"/>
  <c r="K137"/>
  <c r="I137"/>
  <c r="H137"/>
  <c r="G137"/>
  <c r="E137"/>
  <c r="P136"/>
  <c r="O136"/>
  <c r="N136"/>
  <c r="M136"/>
  <c r="L136"/>
  <c r="K136"/>
  <c r="I136"/>
  <c r="H136"/>
  <c r="G136"/>
  <c r="E136"/>
  <c r="P135"/>
  <c r="O135"/>
  <c r="N135"/>
  <c r="M135"/>
  <c r="L135"/>
  <c r="K135"/>
  <c r="I135"/>
  <c r="I134" s="1"/>
  <c r="H135"/>
  <c r="H134" s="1"/>
  <c r="G135"/>
  <c r="G134" s="1"/>
  <c r="E135"/>
  <c r="E134" s="1"/>
  <c r="P134"/>
  <c r="O134"/>
  <c r="N134"/>
  <c r="M134"/>
  <c r="L134"/>
  <c r="D134"/>
  <c r="P133"/>
  <c r="O133"/>
  <c r="N133"/>
  <c r="M133"/>
  <c r="L133"/>
  <c r="K133"/>
  <c r="I133"/>
  <c r="H133"/>
  <c r="G133"/>
  <c r="E133"/>
  <c r="P132"/>
  <c r="O132"/>
  <c r="N132"/>
  <c r="M132"/>
  <c r="L132"/>
  <c r="K132"/>
  <c r="I132"/>
  <c r="H132"/>
  <c r="G132"/>
  <c r="E132"/>
  <c r="P131"/>
  <c r="O131"/>
  <c r="N131"/>
  <c r="M131"/>
  <c r="L131"/>
  <c r="K131"/>
  <c r="I131"/>
  <c r="H131"/>
  <c r="G131"/>
  <c r="E131"/>
  <c r="P130"/>
  <c r="O130"/>
  <c r="N130"/>
  <c r="M130"/>
  <c r="L130"/>
  <c r="K130"/>
  <c r="I130"/>
  <c r="H130"/>
  <c r="G130"/>
  <c r="E130"/>
  <c r="P129"/>
  <c r="O129"/>
  <c r="N129"/>
  <c r="M129"/>
  <c r="L129"/>
  <c r="K129"/>
  <c r="I129"/>
  <c r="H129"/>
  <c r="G129"/>
  <c r="E129"/>
  <c r="P128"/>
  <c r="O128"/>
  <c r="N128"/>
  <c r="M128"/>
  <c r="L128"/>
  <c r="K128"/>
  <c r="I128"/>
  <c r="H128"/>
  <c r="G128"/>
  <c r="E128"/>
  <c r="P127"/>
  <c r="O127"/>
  <c r="N127"/>
  <c r="M127"/>
  <c r="L127"/>
  <c r="K127"/>
  <c r="I127"/>
  <c r="H127"/>
  <c r="G127"/>
  <c r="E127"/>
  <c r="P126"/>
  <c r="O126"/>
  <c r="N126"/>
  <c r="M126"/>
  <c r="L126"/>
  <c r="K126"/>
  <c r="I126"/>
  <c r="H126"/>
  <c r="G126"/>
  <c r="E126"/>
  <c r="P125"/>
  <c r="O125"/>
  <c r="N125"/>
  <c r="M125"/>
  <c r="L125"/>
  <c r="K125"/>
  <c r="I125"/>
  <c r="H125"/>
  <c r="G125"/>
  <c r="E125"/>
  <c r="P124"/>
  <c r="O124"/>
  <c r="N124"/>
  <c r="M124"/>
  <c r="L124"/>
  <c r="K124"/>
  <c r="I124"/>
  <c r="H124"/>
  <c r="G124"/>
  <c r="E124"/>
  <c r="P123"/>
  <c r="O123"/>
  <c r="N123"/>
  <c r="M123"/>
  <c r="L123"/>
  <c r="K123"/>
  <c r="I123"/>
  <c r="H123"/>
  <c r="G123"/>
  <c r="E123"/>
  <c r="P122"/>
  <c r="O122"/>
  <c r="N122"/>
  <c r="M122"/>
  <c r="L122"/>
  <c r="K122"/>
  <c r="I122"/>
  <c r="H122"/>
  <c r="G122"/>
  <c r="E122"/>
  <c r="P121"/>
  <c r="O121"/>
  <c r="N121"/>
  <c r="M121"/>
  <c r="L121"/>
  <c r="K121"/>
  <c r="I121"/>
  <c r="H121"/>
  <c r="G121"/>
  <c r="E121"/>
  <c r="P120"/>
  <c r="O120"/>
  <c r="N120"/>
  <c r="M120"/>
  <c r="L120"/>
  <c r="K120"/>
  <c r="I120"/>
  <c r="H120"/>
  <c r="G120"/>
  <c r="E120"/>
  <c r="P119"/>
  <c r="O119"/>
  <c r="N119"/>
  <c r="M119"/>
  <c r="L119"/>
  <c r="K119"/>
  <c r="I119"/>
  <c r="H119"/>
  <c r="G119"/>
  <c r="G118" s="1"/>
  <c r="E119"/>
  <c r="P118"/>
  <c r="O118"/>
  <c r="N118"/>
  <c r="M118"/>
  <c r="L118"/>
  <c r="K118"/>
  <c r="I118"/>
  <c r="D118"/>
  <c r="P117"/>
  <c r="O117"/>
  <c r="O115" s="1"/>
  <c r="N117"/>
  <c r="N115" s="1"/>
  <c r="M117"/>
  <c r="M115" s="1"/>
  <c r="L117"/>
  <c r="L115" s="1"/>
  <c r="K117"/>
  <c r="I117"/>
  <c r="H117"/>
  <c r="G117"/>
  <c r="E117"/>
  <c r="P116"/>
  <c r="P115" s="1"/>
  <c r="O116"/>
  <c r="N116"/>
  <c r="M116"/>
  <c r="L116"/>
  <c r="K116"/>
  <c r="I116"/>
  <c r="I115" s="1"/>
  <c r="H116"/>
  <c r="H115" s="1"/>
  <c r="G116"/>
  <c r="G115" s="1"/>
  <c r="E116"/>
  <c r="D115"/>
  <c r="P114"/>
  <c r="O114"/>
  <c r="N114"/>
  <c r="M114"/>
  <c r="L114"/>
  <c r="K114"/>
  <c r="I114"/>
  <c r="H114"/>
  <c r="G114"/>
  <c r="E114"/>
  <c r="P113"/>
  <c r="O113"/>
  <c r="N113"/>
  <c r="M113"/>
  <c r="L113"/>
  <c r="K113"/>
  <c r="I113"/>
  <c r="H113"/>
  <c r="G113"/>
  <c r="E113"/>
  <c r="P112"/>
  <c r="O112"/>
  <c r="N112"/>
  <c r="M112"/>
  <c r="L112"/>
  <c r="K112"/>
  <c r="I112"/>
  <c r="H112"/>
  <c r="G112"/>
  <c r="E112"/>
  <c r="P111"/>
  <c r="O111"/>
  <c r="N111"/>
  <c r="M111"/>
  <c r="L111"/>
  <c r="K111"/>
  <c r="I111"/>
  <c r="H111"/>
  <c r="G111"/>
  <c r="E111"/>
  <c r="D111"/>
  <c r="P110"/>
  <c r="O110"/>
  <c r="N110"/>
  <c r="M110"/>
  <c r="L110"/>
  <c r="K110"/>
  <c r="I110"/>
  <c r="H110"/>
  <c r="G110"/>
  <c r="E110"/>
  <c r="P109"/>
  <c r="O109"/>
  <c r="N109"/>
  <c r="M109"/>
  <c r="L109"/>
  <c r="K109"/>
  <c r="I109"/>
  <c r="H109"/>
  <c r="G109"/>
  <c r="E109"/>
  <c r="P108"/>
  <c r="O108"/>
  <c r="N108"/>
  <c r="M108"/>
  <c r="L108"/>
  <c r="K108"/>
  <c r="I108"/>
  <c r="H108"/>
  <c r="G108"/>
  <c r="E108"/>
  <c r="P107"/>
  <c r="O107"/>
  <c r="N107"/>
  <c r="M107"/>
  <c r="L107"/>
  <c r="K107"/>
  <c r="I107"/>
  <c r="I106" s="1"/>
  <c r="H107"/>
  <c r="G107"/>
  <c r="E107"/>
  <c r="E106" s="1"/>
  <c r="P106"/>
  <c r="O106"/>
  <c r="N106"/>
  <c r="M106"/>
  <c r="L106"/>
  <c r="D106"/>
  <c r="P105"/>
  <c r="O105"/>
  <c r="N105"/>
  <c r="M105"/>
  <c r="L105"/>
  <c r="K105"/>
  <c r="I105"/>
  <c r="H105"/>
  <c r="G105"/>
  <c r="F105"/>
  <c r="E105"/>
  <c r="P104"/>
  <c r="O104"/>
  <c r="N104"/>
  <c r="M104"/>
  <c r="L104"/>
  <c r="K104"/>
  <c r="I104"/>
  <c r="H104"/>
  <c r="G104"/>
  <c r="F104"/>
  <c r="E104"/>
  <c r="P103"/>
  <c r="O103"/>
  <c r="N103"/>
  <c r="M103"/>
  <c r="L103"/>
  <c r="K103"/>
  <c r="I103"/>
  <c r="H103"/>
  <c r="G103"/>
  <c r="F103"/>
  <c r="E103"/>
  <c r="P102"/>
  <c r="O102"/>
  <c r="N102"/>
  <c r="M102"/>
  <c r="L102"/>
  <c r="K102"/>
  <c r="I102"/>
  <c r="H102"/>
  <c r="G102"/>
  <c r="F102"/>
  <c r="E102"/>
  <c r="P101"/>
  <c r="O101"/>
  <c r="N101"/>
  <c r="M101"/>
  <c r="L101"/>
  <c r="K101"/>
  <c r="I101"/>
  <c r="H101"/>
  <c r="G101"/>
  <c r="E101"/>
  <c r="P100"/>
  <c r="O100"/>
  <c r="N100"/>
  <c r="M100"/>
  <c r="L100"/>
  <c r="K100"/>
  <c r="I100"/>
  <c r="H100"/>
  <c r="G100"/>
  <c r="F100"/>
  <c r="E100"/>
  <c r="D99"/>
  <c r="P98"/>
  <c r="P97" s="1"/>
  <c r="O98"/>
  <c r="O97" s="1"/>
  <c r="N98"/>
  <c r="N97" s="1"/>
  <c r="M98"/>
  <c r="M97" s="1"/>
  <c r="L98"/>
  <c r="L97" s="1"/>
  <c r="K98"/>
  <c r="I98"/>
  <c r="I97" s="1"/>
  <c r="H98"/>
  <c r="H97" s="1"/>
  <c r="G98"/>
  <c r="G97" s="1"/>
  <c r="F98"/>
  <c r="E98"/>
  <c r="E97" s="1"/>
  <c r="D97"/>
  <c r="P96"/>
  <c r="O96"/>
  <c r="N96"/>
  <c r="M96"/>
  <c r="L96"/>
  <c r="K96"/>
  <c r="I96"/>
  <c r="H96"/>
  <c r="G96"/>
  <c r="E96"/>
  <c r="P95"/>
  <c r="O95"/>
  <c r="N95"/>
  <c r="M95"/>
  <c r="L95"/>
  <c r="K95"/>
  <c r="I95"/>
  <c r="H95"/>
  <c r="G95"/>
  <c r="E95"/>
  <c r="P94"/>
  <c r="O94"/>
  <c r="N94"/>
  <c r="M94"/>
  <c r="L94"/>
  <c r="K94"/>
  <c r="I94"/>
  <c r="H94"/>
  <c r="G94"/>
  <c r="D94"/>
  <c r="P93"/>
  <c r="O93"/>
  <c r="O91" s="1"/>
  <c r="O13" s="1"/>
  <c r="N93"/>
  <c r="M93"/>
  <c r="L93"/>
  <c r="K93"/>
  <c r="I93"/>
  <c r="H93"/>
  <c r="G93"/>
  <c r="E93"/>
  <c r="P92"/>
  <c r="O92"/>
  <c r="N92"/>
  <c r="M92"/>
  <c r="M91" s="1"/>
  <c r="L92"/>
  <c r="L91" s="1"/>
  <c r="K92"/>
  <c r="I92"/>
  <c r="I91" s="1"/>
  <c r="H92"/>
  <c r="H91" s="1"/>
  <c r="G92"/>
  <c r="G91" s="1"/>
  <c r="E92"/>
  <c r="P91"/>
  <c r="D91"/>
  <c r="J89"/>
  <c r="F89"/>
  <c r="J88"/>
  <c r="F88"/>
  <c r="J87"/>
  <c r="F87"/>
  <c r="J86"/>
  <c r="F86"/>
  <c r="J85"/>
  <c r="F85"/>
  <c r="J84"/>
  <c r="F84"/>
  <c r="J83"/>
  <c r="F83"/>
  <c r="P82"/>
  <c r="O82"/>
  <c r="N82"/>
  <c r="M82"/>
  <c r="L82"/>
  <c r="K82"/>
  <c r="I82"/>
  <c r="H82"/>
  <c r="G82"/>
  <c r="E82"/>
  <c r="J81"/>
  <c r="F81"/>
  <c r="J80"/>
  <c r="F80"/>
  <c r="J79"/>
  <c r="F79"/>
  <c r="J78"/>
  <c r="F78"/>
  <c r="J77"/>
  <c r="F77"/>
  <c r="J76"/>
  <c r="F76"/>
  <c r="J75"/>
  <c r="F75"/>
  <c r="J74"/>
  <c r="F74"/>
  <c r="J73"/>
  <c r="F73"/>
  <c r="J72"/>
  <c r="F72"/>
  <c r="J71"/>
  <c r="F71"/>
  <c r="J70"/>
  <c r="F70"/>
  <c r="J69"/>
  <c r="F69"/>
  <c r="J68"/>
  <c r="F68"/>
  <c r="J67"/>
  <c r="F67"/>
  <c r="P66"/>
  <c r="O66"/>
  <c r="N66"/>
  <c r="M66"/>
  <c r="L66"/>
  <c r="K66"/>
  <c r="I66"/>
  <c r="H66"/>
  <c r="G66"/>
  <c r="E66"/>
  <c r="J65"/>
  <c r="F65"/>
  <c r="J64"/>
  <c r="F64"/>
  <c r="P63"/>
  <c r="O63"/>
  <c r="N63"/>
  <c r="M63"/>
  <c r="L63"/>
  <c r="K63"/>
  <c r="I63"/>
  <c r="H63"/>
  <c r="G63"/>
  <c r="E63"/>
  <c r="J62"/>
  <c r="F62"/>
  <c r="J61"/>
  <c r="F61"/>
  <c r="J60"/>
  <c r="F60"/>
  <c r="J59"/>
  <c r="F59"/>
  <c r="J58"/>
  <c r="F58"/>
  <c r="P57"/>
  <c r="O57"/>
  <c r="N57"/>
  <c r="M57"/>
  <c r="L57"/>
  <c r="K57"/>
  <c r="I57"/>
  <c r="H57"/>
  <c r="G57"/>
  <c r="E57"/>
  <c r="J56"/>
  <c r="F56"/>
  <c r="J55"/>
  <c r="F55"/>
  <c r="J54"/>
  <c r="F54"/>
  <c r="J53"/>
  <c r="E30" i="8" s="1"/>
  <c r="E29" s="1"/>
  <c r="F53" i="4"/>
  <c r="E28" i="8" s="1"/>
  <c r="P52" i="4"/>
  <c r="O52"/>
  <c r="N52"/>
  <c r="M52"/>
  <c r="L52"/>
  <c r="K52"/>
  <c r="I52"/>
  <c r="H52"/>
  <c r="G52"/>
  <c r="E52"/>
  <c r="J51"/>
  <c r="F51"/>
  <c r="J50"/>
  <c r="F50"/>
  <c r="J49"/>
  <c r="F49"/>
  <c r="J48"/>
  <c r="F48"/>
  <c r="J47"/>
  <c r="F47"/>
  <c r="J46"/>
  <c r="F46"/>
  <c r="P45"/>
  <c r="O45"/>
  <c r="N45"/>
  <c r="M45"/>
  <c r="L45"/>
  <c r="K45"/>
  <c r="I45"/>
  <c r="H45"/>
  <c r="G45"/>
  <c r="E45"/>
  <c r="J44"/>
  <c r="F44"/>
  <c r="P43"/>
  <c r="O43"/>
  <c r="N43"/>
  <c r="M43"/>
  <c r="L43"/>
  <c r="K43"/>
  <c r="I43"/>
  <c r="H43"/>
  <c r="G43"/>
  <c r="E43"/>
  <c r="J42"/>
  <c r="F42"/>
  <c r="J41"/>
  <c r="F41"/>
  <c r="P40"/>
  <c r="O40"/>
  <c r="N40"/>
  <c r="M40"/>
  <c r="L40"/>
  <c r="K40"/>
  <c r="I40"/>
  <c r="H40"/>
  <c r="G40"/>
  <c r="E40"/>
  <c r="J39"/>
  <c r="F39"/>
  <c r="J38"/>
  <c r="F38"/>
  <c r="P37"/>
  <c r="O37"/>
  <c r="N37"/>
  <c r="N15" s="1"/>
  <c r="M37"/>
  <c r="L37"/>
  <c r="L15" s="1"/>
  <c r="K37"/>
  <c r="I37"/>
  <c r="I15" s="1"/>
  <c r="H37"/>
  <c r="G37"/>
  <c r="E37"/>
  <c r="J36"/>
  <c r="F36"/>
  <c r="J35"/>
  <c r="F35"/>
  <c r="P34"/>
  <c r="O34"/>
  <c r="N34"/>
  <c r="M34"/>
  <c r="L34"/>
  <c r="K34"/>
  <c r="I34"/>
  <c r="H34"/>
  <c r="G34"/>
  <c r="E34"/>
  <c r="J33"/>
  <c r="D33" s="1"/>
  <c r="J32"/>
  <c r="D32" s="1"/>
  <c r="N31"/>
  <c r="N29" s="1"/>
  <c r="M31"/>
  <c r="M29" s="1"/>
  <c r="M25" s="1"/>
  <c r="L31"/>
  <c r="L29" s="1"/>
  <c r="K31"/>
  <c r="K28" s="1"/>
  <c r="I31"/>
  <c r="H31"/>
  <c r="H29" s="1"/>
  <c r="G31"/>
  <c r="G29" s="1"/>
  <c r="G25" s="1"/>
  <c r="E31"/>
  <c r="E28" s="1"/>
  <c r="J30"/>
  <c r="J11" s="1"/>
  <c r="F30"/>
  <c r="P29"/>
  <c r="P25" s="1"/>
  <c r="O29"/>
  <c r="O25" s="1"/>
  <c r="I29"/>
  <c r="I25" s="1"/>
  <c r="P28"/>
  <c r="O28"/>
  <c r="P15"/>
  <c r="O15"/>
  <c r="M15"/>
  <c r="K15"/>
  <c r="H15"/>
  <c r="G15"/>
  <c r="E15"/>
  <c r="P14"/>
  <c r="O14"/>
  <c r="N14"/>
  <c r="M14"/>
  <c r="L14"/>
  <c r="K14"/>
  <c r="I14"/>
  <c r="H14"/>
  <c r="G14"/>
  <c r="E14"/>
  <c r="P13"/>
  <c r="P12"/>
  <c r="O12"/>
  <c r="F12"/>
  <c r="P11"/>
  <c r="O11"/>
  <c r="N11"/>
  <c r="M11"/>
  <c r="L11"/>
  <c r="K11"/>
  <c r="I11"/>
  <c r="H11"/>
  <c r="G11"/>
  <c r="E11"/>
  <c r="D88" i="3"/>
  <c r="D53"/>
  <c r="D38"/>
  <c r="D35"/>
  <c r="D31"/>
  <c r="D27"/>
  <c r="D12"/>
  <c r="D32" i="2"/>
  <c r="D17"/>
  <c r="K16" i="10" l="1"/>
  <c r="M16"/>
  <c r="O16"/>
  <c r="O15" s="1"/>
  <c r="L14"/>
  <c r="P14"/>
  <c r="G13"/>
  <c r="I13"/>
  <c r="L13"/>
  <c r="N13"/>
  <c r="P13"/>
  <c r="L12"/>
  <c r="P12"/>
  <c r="P23" i="6"/>
  <c r="L23"/>
  <c r="M12"/>
  <c r="M23"/>
  <c r="O23"/>
  <c r="H12"/>
  <c r="H11" s="1"/>
  <c r="G99" i="4"/>
  <c r="H11" i="10"/>
  <c r="I11"/>
  <c r="K18"/>
  <c r="E17"/>
  <c r="M17"/>
  <c r="N15"/>
  <c r="G17" i="6"/>
  <c r="P15"/>
  <c r="H15"/>
  <c r="H118" i="4"/>
  <c r="E118"/>
  <c r="M13"/>
  <c r="P15" i="10"/>
  <c r="E11"/>
  <c r="I16"/>
  <c r="O15" i="6"/>
  <c r="N15"/>
  <c r="I15"/>
  <c r="G24"/>
  <c r="L13" i="4"/>
  <c r="N91"/>
  <c r="N13" s="1"/>
  <c r="H12"/>
  <c r="D131" i="10"/>
  <c r="D126"/>
  <c r="L15"/>
  <c r="H15"/>
  <c r="N29"/>
  <c r="L29"/>
  <c r="H29"/>
  <c r="P29"/>
  <c r="I20"/>
  <c r="J60"/>
  <c r="H24"/>
  <c r="H23" s="1"/>
  <c r="M20"/>
  <c r="I24" i="6"/>
  <c r="I23" s="1"/>
  <c r="K69"/>
  <c r="P20"/>
  <c r="N33"/>
  <c r="I28" i="4"/>
  <c r="L12"/>
  <c r="D133" i="10"/>
  <c r="F107"/>
  <c r="O11"/>
  <c r="I111"/>
  <c r="K111"/>
  <c r="F78"/>
  <c r="L75"/>
  <c r="H75"/>
  <c r="F77"/>
  <c r="F76"/>
  <c r="J74"/>
  <c r="F73"/>
  <c r="J68"/>
  <c r="J66"/>
  <c r="J59"/>
  <c r="J57"/>
  <c r="J58"/>
  <c r="O29" i="6"/>
  <c r="P29"/>
  <c r="N29"/>
  <c r="M29"/>
  <c r="L29"/>
  <c r="I29"/>
  <c r="P26"/>
  <c r="O26"/>
  <c r="J73"/>
  <c r="G72"/>
  <c r="G66"/>
  <c r="E57"/>
  <c r="G57"/>
  <c r="F136" i="4"/>
  <c r="F137"/>
  <c r="D90"/>
  <c r="I99"/>
  <c r="G13"/>
  <c r="N12"/>
  <c r="M12"/>
  <c r="E12"/>
  <c r="J116" i="10"/>
  <c r="J115"/>
  <c r="F113"/>
  <c r="D129"/>
  <c r="D127"/>
  <c r="G106"/>
  <c r="J104"/>
  <c r="J103"/>
  <c r="D123"/>
  <c r="G96"/>
  <c r="G134" s="1"/>
  <c r="J99"/>
  <c r="J98"/>
  <c r="M111"/>
  <c r="L111"/>
  <c r="N111"/>
  <c r="P111"/>
  <c r="J106"/>
  <c r="J78"/>
  <c r="D95"/>
  <c r="J77"/>
  <c r="D94"/>
  <c r="G75"/>
  <c r="J76"/>
  <c r="D93"/>
  <c r="K75"/>
  <c r="J75" s="1"/>
  <c r="F75"/>
  <c r="M56"/>
  <c r="D92"/>
  <c r="D91"/>
  <c r="J71"/>
  <c r="D90"/>
  <c r="K69"/>
  <c r="J69" s="1"/>
  <c r="F71"/>
  <c r="G69"/>
  <c r="J70"/>
  <c r="D89"/>
  <c r="F70"/>
  <c r="F69"/>
  <c r="D88"/>
  <c r="J67"/>
  <c r="D87"/>
  <c r="J65"/>
  <c r="D86"/>
  <c r="F65"/>
  <c r="J64"/>
  <c r="D85"/>
  <c r="F64"/>
  <c r="J63"/>
  <c r="D84"/>
  <c r="F63"/>
  <c r="P56"/>
  <c r="O56"/>
  <c r="J61"/>
  <c r="J62"/>
  <c r="D83"/>
  <c r="I56"/>
  <c r="H56"/>
  <c r="F61"/>
  <c r="F62"/>
  <c r="E56"/>
  <c r="D82"/>
  <c r="D81"/>
  <c r="M11"/>
  <c r="D80"/>
  <c r="D56"/>
  <c r="L56"/>
  <c r="N56"/>
  <c r="F46"/>
  <c r="N20"/>
  <c r="F117" i="6"/>
  <c r="F116"/>
  <c r="F115"/>
  <c r="J111"/>
  <c r="F110"/>
  <c r="F109"/>
  <c r="J106"/>
  <c r="F105"/>
  <c r="F103"/>
  <c r="H96"/>
  <c r="H134" s="1"/>
  <c r="H238" i="4" s="1"/>
  <c r="H200" s="1"/>
  <c r="F102" i="6"/>
  <c r="J100"/>
  <c r="F99"/>
  <c r="E114"/>
  <c r="F106"/>
  <c r="E101"/>
  <c r="F73"/>
  <c r="F67"/>
  <c r="M15"/>
  <c r="I56"/>
  <c r="H72"/>
  <c r="H66"/>
  <c r="I13"/>
  <c r="L13"/>
  <c r="N13"/>
  <c r="P13"/>
  <c r="J136" i="4"/>
  <c r="J138"/>
  <c r="F138"/>
  <c r="F139"/>
  <c r="J133"/>
  <c r="E99"/>
  <c r="E94"/>
  <c r="E115"/>
  <c r="H106"/>
  <c r="E91"/>
  <c r="F43"/>
  <c r="F37"/>
  <c r="F15" s="1"/>
  <c r="L28"/>
  <c r="N28"/>
  <c r="M28"/>
  <c r="I12"/>
  <c r="G12"/>
  <c r="J114" i="10"/>
  <c r="J117"/>
  <c r="D132"/>
  <c r="F114"/>
  <c r="J113"/>
  <c r="D130"/>
  <c r="H111"/>
  <c r="F111" s="1"/>
  <c r="J111"/>
  <c r="J112"/>
  <c r="F112"/>
  <c r="E96"/>
  <c r="E134" s="1"/>
  <c r="J110"/>
  <c r="D128"/>
  <c r="J108"/>
  <c r="J109"/>
  <c r="J107"/>
  <c r="F106"/>
  <c r="L96"/>
  <c r="J105"/>
  <c r="D125"/>
  <c r="D124"/>
  <c r="I96"/>
  <c r="I134" s="1"/>
  <c r="P96"/>
  <c r="P134" s="1"/>
  <c r="O96"/>
  <c r="O134" s="1"/>
  <c r="N96"/>
  <c r="N134" s="1"/>
  <c r="M96"/>
  <c r="M134" s="1"/>
  <c r="J101"/>
  <c r="J102"/>
  <c r="D122"/>
  <c r="H96"/>
  <c r="H134" s="1"/>
  <c r="F101"/>
  <c r="J100"/>
  <c r="D121"/>
  <c r="F100"/>
  <c r="D120"/>
  <c r="F99"/>
  <c r="K97"/>
  <c r="D119"/>
  <c r="F97"/>
  <c r="F98"/>
  <c r="F117"/>
  <c r="F116"/>
  <c r="F115"/>
  <c r="F108"/>
  <c r="F110"/>
  <c r="F109"/>
  <c r="F105"/>
  <c r="F104"/>
  <c r="F103"/>
  <c r="F102"/>
  <c r="E32"/>
  <c r="M32"/>
  <c r="O32"/>
  <c r="I32"/>
  <c r="E30"/>
  <c r="E29" s="1"/>
  <c r="M30"/>
  <c r="M29" s="1"/>
  <c r="O30"/>
  <c r="I30"/>
  <c r="I29" s="1"/>
  <c r="F72"/>
  <c r="F74"/>
  <c r="H27"/>
  <c r="H26" s="1"/>
  <c r="L27"/>
  <c r="L26" s="1"/>
  <c r="N27"/>
  <c r="N26" s="1"/>
  <c r="P27"/>
  <c r="P26" s="1"/>
  <c r="J72"/>
  <c r="J73"/>
  <c r="E24"/>
  <c r="E23" s="1"/>
  <c r="M24"/>
  <c r="M23" s="1"/>
  <c r="O24"/>
  <c r="O23" s="1"/>
  <c r="I24"/>
  <c r="I23" s="1"/>
  <c r="F66"/>
  <c r="F68"/>
  <c r="F67"/>
  <c r="K15"/>
  <c r="M15"/>
  <c r="I15"/>
  <c r="F60"/>
  <c r="F59"/>
  <c r="F57"/>
  <c r="F58"/>
  <c r="D55"/>
  <c r="D54"/>
  <c r="F52"/>
  <c r="J52"/>
  <c r="D53"/>
  <c r="D51"/>
  <c r="J49"/>
  <c r="D50"/>
  <c r="F49"/>
  <c r="J25"/>
  <c r="D48"/>
  <c r="F25"/>
  <c r="D25" s="1"/>
  <c r="J46"/>
  <c r="D47"/>
  <c r="D45"/>
  <c r="J43"/>
  <c r="J33" s="1"/>
  <c r="D44"/>
  <c r="F43"/>
  <c r="D43" s="1"/>
  <c r="D42"/>
  <c r="J18"/>
  <c r="D41"/>
  <c r="F18"/>
  <c r="J38"/>
  <c r="D40"/>
  <c r="F38"/>
  <c r="D38" s="1"/>
  <c r="P33"/>
  <c r="O33"/>
  <c r="N33"/>
  <c r="J16"/>
  <c r="L33"/>
  <c r="D39"/>
  <c r="F16"/>
  <c r="G15"/>
  <c r="E15"/>
  <c r="D37"/>
  <c r="N11"/>
  <c r="J13"/>
  <c r="J34"/>
  <c r="D36"/>
  <c r="F13"/>
  <c r="F34"/>
  <c r="M33"/>
  <c r="D35"/>
  <c r="G33"/>
  <c r="E33"/>
  <c r="J117" i="6"/>
  <c r="D133"/>
  <c r="J116"/>
  <c r="D132"/>
  <c r="G114"/>
  <c r="J115"/>
  <c r="K114"/>
  <c r="J114" s="1"/>
  <c r="D131"/>
  <c r="F114"/>
  <c r="J113"/>
  <c r="D130"/>
  <c r="J112"/>
  <c r="D129"/>
  <c r="F111"/>
  <c r="J110"/>
  <c r="D128"/>
  <c r="J109"/>
  <c r="K108"/>
  <c r="J108" s="1"/>
  <c r="D127"/>
  <c r="F108"/>
  <c r="J107"/>
  <c r="D126"/>
  <c r="J105"/>
  <c r="D125"/>
  <c r="J104"/>
  <c r="D124"/>
  <c r="F104"/>
  <c r="J103"/>
  <c r="D123"/>
  <c r="G101"/>
  <c r="F101" s="1"/>
  <c r="P96"/>
  <c r="O96"/>
  <c r="O134" s="1"/>
  <c r="O238" i="4" s="1"/>
  <c r="O200" s="1"/>
  <c r="N96" i="6"/>
  <c r="N134" s="1"/>
  <c r="N238" i="4" s="1"/>
  <c r="N200" s="1"/>
  <c r="M96" i="6"/>
  <c r="M134" s="1"/>
  <c r="M238" i="4" s="1"/>
  <c r="M200" s="1"/>
  <c r="L96" i="6"/>
  <c r="J102"/>
  <c r="K101"/>
  <c r="J101" s="1"/>
  <c r="D122"/>
  <c r="I96"/>
  <c r="I134" s="1"/>
  <c r="I238" i="4" s="1"/>
  <c r="I200" s="1"/>
  <c r="O11" i="6"/>
  <c r="D121"/>
  <c r="M11"/>
  <c r="D120"/>
  <c r="J98"/>
  <c r="D119"/>
  <c r="F113"/>
  <c r="F112"/>
  <c r="F107"/>
  <c r="P11"/>
  <c r="F100"/>
  <c r="I11"/>
  <c r="N11"/>
  <c r="G13"/>
  <c r="J97"/>
  <c r="J99"/>
  <c r="F97"/>
  <c r="F98"/>
  <c r="J78"/>
  <c r="D95"/>
  <c r="J77"/>
  <c r="D94"/>
  <c r="J75"/>
  <c r="J76"/>
  <c r="D93"/>
  <c r="F75"/>
  <c r="J74"/>
  <c r="D92"/>
  <c r="F74"/>
  <c r="J72"/>
  <c r="D91"/>
  <c r="J71"/>
  <c r="D90"/>
  <c r="J69"/>
  <c r="J70"/>
  <c r="D89"/>
  <c r="J68"/>
  <c r="D88"/>
  <c r="F68"/>
  <c r="F66"/>
  <c r="O56"/>
  <c r="J66"/>
  <c r="J67"/>
  <c r="D87"/>
  <c r="J65"/>
  <c r="D86"/>
  <c r="J64"/>
  <c r="D85"/>
  <c r="J63"/>
  <c r="D84"/>
  <c r="P56"/>
  <c r="N56"/>
  <c r="M56"/>
  <c r="L56"/>
  <c r="J62"/>
  <c r="D83"/>
  <c r="E56"/>
  <c r="J60"/>
  <c r="D82"/>
  <c r="F60"/>
  <c r="J59"/>
  <c r="D81"/>
  <c r="F59"/>
  <c r="J58"/>
  <c r="K57"/>
  <c r="D80"/>
  <c r="F58"/>
  <c r="F57"/>
  <c r="F78"/>
  <c r="F77"/>
  <c r="H29"/>
  <c r="F76"/>
  <c r="M26"/>
  <c r="J26" s="1"/>
  <c r="F69"/>
  <c r="F71"/>
  <c r="H23"/>
  <c r="F70"/>
  <c r="M20"/>
  <c r="J20" s="1"/>
  <c r="J61"/>
  <c r="F61"/>
  <c r="F65"/>
  <c r="F64"/>
  <c r="F63"/>
  <c r="L15"/>
  <c r="F62"/>
  <c r="L11"/>
  <c r="J32"/>
  <c r="D55"/>
  <c r="F32"/>
  <c r="J31"/>
  <c r="D54"/>
  <c r="F31"/>
  <c r="D31" s="1"/>
  <c r="J30"/>
  <c r="J52"/>
  <c r="D53"/>
  <c r="F30"/>
  <c r="F52"/>
  <c r="J28"/>
  <c r="D51"/>
  <c r="F28"/>
  <c r="F49"/>
  <c r="D28"/>
  <c r="J27"/>
  <c r="J49"/>
  <c r="D50"/>
  <c r="F27"/>
  <c r="G26"/>
  <c r="F26" s="1"/>
  <c r="E26"/>
  <c r="J25"/>
  <c r="D48"/>
  <c r="F25"/>
  <c r="J24"/>
  <c r="J46"/>
  <c r="D47"/>
  <c r="F24"/>
  <c r="F46"/>
  <c r="J22"/>
  <c r="D45"/>
  <c r="F22"/>
  <c r="F43"/>
  <c r="D22"/>
  <c r="J21"/>
  <c r="J43"/>
  <c r="D44"/>
  <c r="F21"/>
  <c r="G20"/>
  <c r="F20" s="1"/>
  <c r="E20"/>
  <c r="J19"/>
  <c r="D42"/>
  <c r="F19"/>
  <c r="D19" s="1"/>
  <c r="J18"/>
  <c r="D41"/>
  <c r="F18"/>
  <c r="D18" s="1"/>
  <c r="J17"/>
  <c r="D40"/>
  <c r="F17"/>
  <c r="D17" s="1"/>
  <c r="J38"/>
  <c r="J16"/>
  <c r="D39"/>
  <c r="F16"/>
  <c r="F38"/>
  <c r="J14"/>
  <c r="D37"/>
  <c r="F14"/>
  <c r="J13"/>
  <c r="D36"/>
  <c r="F13"/>
  <c r="D13" s="1"/>
  <c r="J34"/>
  <c r="J12"/>
  <c r="D35"/>
  <c r="F12"/>
  <c r="F34"/>
  <c r="D12"/>
  <c r="D186" i="4"/>
  <c r="J135"/>
  <c r="J137"/>
  <c r="J139"/>
  <c r="J140"/>
  <c r="K134"/>
  <c r="J134" s="1"/>
  <c r="D185"/>
  <c r="F140"/>
  <c r="F134"/>
  <c r="F135"/>
  <c r="D184"/>
  <c r="J132"/>
  <c r="D183"/>
  <c r="J131"/>
  <c r="D182"/>
  <c r="J130"/>
  <c r="D181"/>
  <c r="J129"/>
  <c r="D180"/>
  <c r="J128"/>
  <c r="D179"/>
  <c r="J127"/>
  <c r="D178"/>
  <c r="J126"/>
  <c r="D177"/>
  <c r="J125"/>
  <c r="D176"/>
  <c r="J124"/>
  <c r="D175"/>
  <c r="J123"/>
  <c r="D174"/>
  <c r="J122"/>
  <c r="D173"/>
  <c r="J121"/>
  <c r="D172"/>
  <c r="J120"/>
  <c r="D171"/>
  <c r="J118"/>
  <c r="J119"/>
  <c r="D170"/>
  <c r="F118"/>
  <c r="J117"/>
  <c r="D168"/>
  <c r="F117"/>
  <c r="J116"/>
  <c r="D167"/>
  <c r="K115"/>
  <c r="J115" s="1"/>
  <c r="F116"/>
  <c r="F115"/>
  <c r="J114"/>
  <c r="D165"/>
  <c r="J113"/>
  <c r="D164"/>
  <c r="J111"/>
  <c r="J112"/>
  <c r="D163"/>
  <c r="F111"/>
  <c r="J110"/>
  <c r="D161"/>
  <c r="F110"/>
  <c r="J109"/>
  <c r="D160"/>
  <c r="F109"/>
  <c r="J108"/>
  <c r="D159"/>
  <c r="F108"/>
  <c r="J107"/>
  <c r="K106"/>
  <c r="D158"/>
  <c r="F107"/>
  <c r="E36" i="8"/>
  <c r="E35" s="1"/>
  <c r="G106" i="4"/>
  <c r="G90" s="1"/>
  <c r="G26" s="1"/>
  <c r="J105"/>
  <c r="D156"/>
  <c r="J104"/>
  <c r="D155"/>
  <c r="J103"/>
  <c r="D154"/>
  <c r="J102"/>
  <c r="K99"/>
  <c r="D153"/>
  <c r="H99"/>
  <c r="P99"/>
  <c r="O99"/>
  <c r="N99"/>
  <c r="M99"/>
  <c r="L99"/>
  <c r="J101"/>
  <c r="D152"/>
  <c r="J100"/>
  <c r="D151"/>
  <c r="F99"/>
  <c r="P90"/>
  <c r="P26" s="1"/>
  <c r="O90"/>
  <c r="O26" s="1"/>
  <c r="N90"/>
  <c r="N26" s="1"/>
  <c r="M90"/>
  <c r="M26" s="1"/>
  <c r="J98"/>
  <c r="K97"/>
  <c r="D149"/>
  <c r="F97"/>
  <c r="J96"/>
  <c r="D147"/>
  <c r="J94"/>
  <c r="J95"/>
  <c r="D146"/>
  <c r="F94"/>
  <c r="J93"/>
  <c r="D144"/>
  <c r="F93"/>
  <c r="E90"/>
  <c r="E26" s="1"/>
  <c r="E13"/>
  <c r="J92"/>
  <c r="J14" s="1"/>
  <c r="K91"/>
  <c r="D143"/>
  <c r="I13"/>
  <c r="I90"/>
  <c r="I26" s="1"/>
  <c r="F92"/>
  <c r="F14" s="1"/>
  <c r="H13"/>
  <c r="F91"/>
  <c r="F133"/>
  <c r="F132"/>
  <c r="F131"/>
  <c r="F130"/>
  <c r="F129"/>
  <c r="F128"/>
  <c r="F127"/>
  <c r="F126"/>
  <c r="F125"/>
  <c r="F124"/>
  <c r="F123"/>
  <c r="F122"/>
  <c r="F121"/>
  <c r="F120"/>
  <c r="F119"/>
  <c r="F114"/>
  <c r="F113"/>
  <c r="F112"/>
  <c r="J106"/>
  <c r="F106"/>
  <c r="J97"/>
  <c r="F96"/>
  <c r="F95"/>
  <c r="D89"/>
  <c r="D88"/>
  <c r="D87"/>
  <c r="D86"/>
  <c r="D85"/>
  <c r="D84"/>
  <c r="J82"/>
  <c r="D83"/>
  <c r="F82"/>
  <c r="D81"/>
  <c r="D80"/>
  <c r="D79"/>
  <c r="D78"/>
  <c r="D77"/>
  <c r="D76"/>
  <c r="D75"/>
  <c r="D74"/>
  <c r="D73"/>
  <c r="D72"/>
  <c r="D71"/>
  <c r="D70"/>
  <c r="D69"/>
  <c r="D68"/>
  <c r="J66"/>
  <c r="D67"/>
  <c r="F66"/>
  <c r="D66" s="1"/>
  <c r="D65"/>
  <c r="F63"/>
  <c r="J63"/>
  <c r="D64"/>
  <c r="D62"/>
  <c r="D61"/>
  <c r="D60"/>
  <c r="D59"/>
  <c r="F57"/>
  <c r="J57"/>
  <c r="D58"/>
  <c r="D56"/>
  <c r="D55"/>
  <c r="D54"/>
  <c r="J52"/>
  <c r="F52"/>
  <c r="D53"/>
  <c r="D21" s="1"/>
  <c r="D51"/>
  <c r="D50"/>
  <c r="D49"/>
  <c r="D18" s="1"/>
  <c r="D48"/>
  <c r="D47"/>
  <c r="D19" s="1"/>
  <c r="F45"/>
  <c r="J45"/>
  <c r="D46"/>
  <c r="D17" s="1"/>
  <c r="J43"/>
  <c r="D44"/>
  <c r="D43"/>
  <c r="D42"/>
  <c r="J40"/>
  <c r="D41"/>
  <c r="F40"/>
  <c r="D39"/>
  <c r="J37"/>
  <c r="J15" s="1"/>
  <c r="D38"/>
  <c r="D37"/>
  <c r="D15" s="1"/>
  <c r="D36"/>
  <c r="J34"/>
  <c r="D35"/>
  <c r="D14" s="1"/>
  <c r="J31"/>
  <c r="J12" s="1"/>
  <c r="G28"/>
  <c r="J28"/>
  <c r="K12"/>
  <c r="K29"/>
  <c r="K25" s="1"/>
  <c r="H28"/>
  <c r="E29"/>
  <c r="E25" s="1"/>
  <c r="D30"/>
  <c r="D11" s="1"/>
  <c r="F29"/>
  <c r="F11"/>
  <c r="D34" i="3"/>
  <c r="H25" i="4"/>
  <c r="F25" s="1"/>
  <c r="L25"/>
  <c r="N25"/>
  <c r="D40"/>
  <c r="D52"/>
  <c r="D20" s="1"/>
  <c r="E27" i="8"/>
  <c r="F34" i="4"/>
  <c r="F13" s="1"/>
  <c r="I10" i="6"/>
  <c r="D14"/>
  <c r="D16"/>
  <c r="D38"/>
  <c r="D46"/>
  <c r="E20" i="10"/>
  <c r="J21"/>
  <c r="F27"/>
  <c r="J27"/>
  <c r="L134" i="6"/>
  <c r="L238" i="4" s="1"/>
  <c r="L200" s="1"/>
  <c r="P134" i="6"/>
  <c r="P238" i="4" s="1"/>
  <c r="P200" s="1"/>
  <c r="F19" i="10"/>
  <c r="J19"/>
  <c r="F31"/>
  <c r="J31"/>
  <c r="D49"/>
  <c r="L134"/>
  <c r="E47" i="9"/>
  <c r="E48" s="1"/>
  <c r="E52" i="7"/>
  <c r="E59" i="9"/>
  <c r="E64" s="1"/>
  <c r="F21" i="10"/>
  <c r="E26"/>
  <c r="E11" i="6"/>
  <c r="G11"/>
  <c r="K11"/>
  <c r="E15"/>
  <c r="G15"/>
  <c r="F15" s="1"/>
  <c r="K15"/>
  <c r="J15" s="1"/>
  <c r="E23"/>
  <c r="G23"/>
  <c r="F23" s="1"/>
  <c r="K23"/>
  <c r="J23" s="1"/>
  <c r="E29"/>
  <c r="G29"/>
  <c r="F29" s="1"/>
  <c r="K29"/>
  <c r="E33"/>
  <c r="G33"/>
  <c r="K33"/>
  <c r="G96"/>
  <c r="G134" s="1"/>
  <c r="K96"/>
  <c r="K134" s="1"/>
  <c r="E50" i="7"/>
  <c r="E11" i="8"/>
  <c r="E10" s="1"/>
  <c r="E25" i="9"/>
  <c r="E61" s="1"/>
  <c r="E63"/>
  <c r="F17" i="10"/>
  <c r="J17"/>
  <c r="G12"/>
  <c r="K12"/>
  <c r="G14"/>
  <c r="F14" s="1"/>
  <c r="K14"/>
  <c r="J14" s="1"/>
  <c r="G22"/>
  <c r="F22" s="1"/>
  <c r="K22"/>
  <c r="J22" s="1"/>
  <c r="G24"/>
  <c r="K24"/>
  <c r="G28"/>
  <c r="F28" s="1"/>
  <c r="K28"/>
  <c r="J28" s="1"/>
  <c r="G30"/>
  <c r="K30"/>
  <c r="G32"/>
  <c r="F32" s="1"/>
  <c r="K32"/>
  <c r="J32" s="1"/>
  <c r="G56"/>
  <c r="K56"/>
  <c r="L11" l="1"/>
  <c r="P11"/>
  <c r="L10"/>
  <c r="D16" i="5" s="1"/>
  <c r="E96" i="6"/>
  <c r="E134" s="1"/>
  <c r="E238" i="4" s="1"/>
  <c r="E200" s="1"/>
  <c r="D32" i="6"/>
  <c r="P10"/>
  <c r="D56" i="5" s="1"/>
  <c r="D82" i="4"/>
  <c r="P10" i="10"/>
  <c r="D33" i="5" s="1"/>
  <c r="J56" i="10"/>
  <c r="F56"/>
  <c r="D46"/>
  <c r="D21"/>
  <c r="J15"/>
  <c r="D13"/>
  <c r="H56" i="6"/>
  <c r="O10"/>
  <c r="D55" i="5" s="1"/>
  <c r="D54" s="1"/>
  <c r="G56" i="6"/>
  <c r="F72"/>
  <c r="F15" i="10"/>
  <c r="D15" s="1"/>
  <c r="F134"/>
  <c r="H10"/>
  <c r="O29"/>
  <c r="O10" s="1"/>
  <c r="D32" i="5" s="1"/>
  <c r="D31" i="10"/>
  <c r="D34"/>
  <c r="J29" i="6"/>
  <c r="L10"/>
  <c r="D39" i="5" s="1"/>
  <c r="D43" i="6"/>
  <c r="D34"/>
  <c r="N10"/>
  <c r="D41" i="5" s="1"/>
  <c r="H90" i="4"/>
  <c r="H26" s="1"/>
  <c r="F26" s="1"/>
  <c r="F33" i="10"/>
  <c r="D33" s="1"/>
  <c r="D27"/>
  <c r="D19"/>
  <c r="M10"/>
  <c r="D17" i="5" s="1"/>
  <c r="D20" i="6"/>
  <c r="D49"/>
  <c r="H10"/>
  <c r="D31" i="4"/>
  <c r="D12" s="1"/>
  <c r="N10" i="10"/>
  <c r="D18" i="5" s="1"/>
  <c r="F96" i="10"/>
  <c r="D18"/>
  <c r="D16"/>
  <c r="J97"/>
  <c r="J96" s="1"/>
  <c r="K96"/>
  <c r="K134" s="1"/>
  <c r="J134" s="1"/>
  <c r="I10"/>
  <c r="D32"/>
  <c r="D52"/>
  <c r="D17"/>
  <c r="J96" i="6"/>
  <c r="F96"/>
  <c r="M10"/>
  <c r="D40" i="5" s="1"/>
  <c r="D26" i="6"/>
  <c r="D27"/>
  <c r="D25"/>
  <c r="F56"/>
  <c r="K56"/>
  <c r="J57"/>
  <c r="J56" s="1"/>
  <c r="D30"/>
  <c r="D24"/>
  <c r="D52"/>
  <c r="D21"/>
  <c r="F33"/>
  <c r="J33"/>
  <c r="J99" i="4"/>
  <c r="L90"/>
  <c r="L26" s="1"/>
  <c r="K13"/>
  <c r="J91"/>
  <c r="J13" s="1"/>
  <c r="E57" i="7" s="1"/>
  <c r="E56" s="1"/>
  <c r="K90" i="4"/>
  <c r="D63"/>
  <c r="D57"/>
  <c r="D22"/>
  <c r="D45"/>
  <c r="D16" s="1"/>
  <c r="F28"/>
  <c r="D28" s="1"/>
  <c r="J29"/>
  <c r="D29" s="1"/>
  <c r="D23" s="1"/>
  <c r="J25"/>
  <c r="D25" s="1"/>
  <c r="J30" i="10"/>
  <c r="K29"/>
  <c r="J29" s="1"/>
  <c r="J24"/>
  <c r="K23"/>
  <c r="J23" s="1"/>
  <c r="J12"/>
  <c r="K11"/>
  <c r="F134" i="6"/>
  <c r="G238" i="4"/>
  <c r="F11" i="6"/>
  <c r="F10" s="1"/>
  <c r="D36" i="5" s="1"/>
  <c r="G10" i="6"/>
  <c r="D29"/>
  <c r="D15"/>
  <c r="G20" i="10"/>
  <c r="F20" s="1"/>
  <c r="E10"/>
  <c r="D19" i="5" s="1"/>
  <c r="K26" i="10"/>
  <c r="J26" s="1"/>
  <c r="G26"/>
  <c r="F26" s="1"/>
  <c r="K20"/>
  <c r="J20" s="1"/>
  <c r="F30"/>
  <c r="G29"/>
  <c r="F29" s="1"/>
  <c r="F24"/>
  <c r="G23"/>
  <c r="F23" s="1"/>
  <c r="F12"/>
  <c r="G11"/>
  <c r="J134" i="6"/>
  <c r="K238" i="4"/>
  <c r="J11" i="6"/>
  <c r="K10"/>
  <c r="D38" i="5" s="1"/>
  <c r="E10" i="6"/>
  <c r="D42" i="5" s="1"/>
  <c r="D28" i="10"/>
  <c r="D22"/>
  <c r="D14"/>
  <c r="D23" i="6"/>
  <c r="D34" i="4"/>
  <c r="D13" s="1"/>
  <c r="D31" i="5" l="1"/>
  <c r="D134" i="10"/>
  <c r="J10" i="6"/>
  <c r="D37" i="5" s="1"/>
  <c r="D35" s="1"/>
  <c r="D53" s="1"/>
  <c r="D43" s="1"/>
  <c r="F90" i="4"/>
  <c r="D12" i="10"/>
  <c r="D23"/>
  <c r="D11" i="6"/>
  <c r="D10" s="1"/>
  <c r="D29" i="10"/>
  <c r="D30"/>
  <c r="D26"/>
  <c r="D24"/>
  <c r="D20"/>
  <c r="D33" i="6"/>
  <c r="K26" i="4"/>
  <c r="J26" s="1"/>
  <c r="D26" s="1"/>
  <c r="H237" s="1"/>
  <c r="J90"/>
  <c r="J238"/>
  <c r="K200"/>
  <c r="J200" s="1"/>
  <c r="F11" i="10"/>
  <c r="G10"/>
  <c r="F238" i="4"/>
  <c r="D238" s="1"/>
  <c r="G200"/>
  <c r="F200" s="1"/>
  <c r="J11" i="10"/>
  <c r="J10" s="1"/>
  <c r="D14" i="5" s="1"/>
  <c r="K10" i="10"/>
  <c r="D15" i="5" s="1"/>
  <c r="D134" i="6"/>
  <c r="G237" i="4" l="1"/>
  <c r="G196" s="1"/>
  <c r="O237"/>
  <c r="K237"/>
  <c r="E237"/>
  <c r="P237"/>
  <c r="I237"/>
  <c r="M237"/>
  <c r="M223" s="1"/>
  <c r="N237"/>
  <c r="L237"/>
  <c r="H234"/>
  <c r="H232"/>
  <c r="H228"/>
  <c r="H226"/>
  <c r="H224"/>
  <c r="H222"/>
  <c r="H220"/>
  <c r="H218"/>
  <c r="H216"/>
  <c r="H214"/>
  <c r="H208"/>
  <c r="H199"/>
  <c r="H197"/>
  <c r="H195"/>
  <c r="H17" s="1"/>
  <c r="H190"/>
  <c r="H212"/>
  <c r="H205"/>
  <c r="H203"/>
  <c r="H193"/>
  <c r="H192" s="1"/>
  <c r="H235"/>
  <c r="H233"/>
  <c r="H229"/>
  <c r="H227"/>
  <c r="H225"/>
  <c r="H223"/>
  <c r="H221"/>
  <c r="H219"/>
  <c r="H217"/>
  <c r="H215"/>
  <c r="H209"/>
  <c r="H207"/>
  <c r="H198"/>
  <c r="H18" s="1"/>
  <c r="H196"/>
  <c r="H19" s="1"/>
  <c r="H191"/>
  <c r="H231"/>
  <c r="H211"/>
  <c r="H210" s="1"/>
  <c r="H204"/>
  <c r="H202"/>
  <c r="H21" s="1"/>
  <c r="H188"/>
  <c r="H187" s="1"/>
  <c r="M221"/>
  <c r="F10" i="10"/>
  <c r="D13" i="5" s="1"/>
  <c r="D12" s="1"/>
  <c r="D30" s="1"/>
  <c r="D20" s="1"/>
  <c r="D11" i="10"/>
  <c r="D10" s="1"/>
  <c r="M212" i="4" l="1"/>
  <c r="M229"/>
  <c r="M234"/>
  <c r="M203"/>
  <c r="M225"/>
  <c r="H206"/>
  <c r="H230"/>
  <c r="M232"/>
  <c r="M205"/>
  <c r="M193"/>
  <c r="M192" s="1"/>
  <c r="M227"/>
  <c r="H201"/>
  <c r="H20" s="1"/>
  <c r="H213"/>
  <c r="H22"/>
  <c r="H189"/>
  <c r="H194"/>
  <c r="H16" s="1"/>
  <c r="F237"/>
  <c r="G211"/>
  <c r="G205"/>
  <c r="G235"/>
  <c r="G203"/>
  <c r="G233"/>
  <c r="G193"/>
  <c r="G192" s="1"/>
  <c r="G204"/>
  <c r="G234"/>
  <c r="G188"/>
  <c r="G187" s="1"/>
  <c r="G202"/>
  <c r="G228"/>
  <c r="G232"/>
  <c r="G227"/>
  <c r="G229"/>
  <c r="G223"/>
  <c r="G225"/>
  <c r="G226"/>
  <c r="G221"/>
  <c r="G219"/>
  <c r="G222"/>
  <c r="G215"/>
  <c r="G217"/>
  <c r="G209"/>
  <c r="G224"/>
  <c r="G218"/>
  <c r="G220"/>
  <c r="G216"/>
  <c r="G214"/>
  <c r="G208"/>
  <c r="G207"/>
  <c r="G199"/>
  <c r="G195"/>
  <c r="G17" s="1"/>
  <c r="G19"/>
  <c r="G212"/>
  <c r="G231"/>
  <c r="G197"/>
  <c r="G198"/>
  <c r="G18" s="1"/>
  <c r="G190"/>
  <c r="G191"/>
  <c r="O211"/>
  <c r="O212"/>
  <c r="O204"/>
  <c r="O202"/>
  <c r="O188"/>
  <c r="O187" s="1"/>
  <c r="O234"/>
  <c r="O232"/>
  <c r="O229"/>
  <c r="O227"/>
  <c r="O225"/>
  <c r="O223"/>
  <c r="O221"/>
  <c r="O219"/>
  <c r="O217"/>
  <c r="O215"/>
  <c r="O209"/>
  <c r="O207"/>
  <c r="O198"/>
  <c r="O18" s="1"/>
  <c r="O196"/>
  <c r="O191"/>
  <c r="O205"/>
  <c r="O203"/>
  <c r="O193"/>
  <c r="O192" s="1"/>
  <c r="O235"/>
  <c r="O233"/>
  <c r="O231"/>
  <c r="O228"/>
  <c r="O226"/>
  <c r="O224"/>
  <c r="O222"/>
  <c r="O220"/>
  <c r="O218"/>
  <c r="O216"/>
  <c r="O214"/>
  <c r="O208"/>
  <c r="O199"/>
  <c r="O197"/>
  <c r="O195"/>
  <c r="O190"/>
  <c r="K211"/>
  <c r="K204"/>
  <c r="K202"/>
  <c r="K188"/>
  <c r="K187" s="1"/>
  <c r="K234"/>
  <c r="K232"/>
  <c r="K229"/>
  <c r="K227"/>
  <c r="K225"/>
  <c r="K223"/>
  <c r="K221"/>
  <c r="K219"/>
  <c r="K217"/>
  <c r="K215"/>
  <c r="K209"/>
  <c r="K207"/>
  <c r="K198"/>
  <c r="K18" s="1"/>
  <c r="K196"/>
  <c r="K191"/>
  <c r="K212"/>
  <c r="K205"/>
  <c r="K203"/>
  <c r="K193"/>
  <c r="K192" s="1"/>
  <c r="K235"/>
  <c r="K233"/>
  <c r="K231"/>
  <c r="K228"/>
  <c r="K226"/>
  <c r="K224"/>
  <c r="K222"/>
  <c r="K220"/>
  <c r="K218"/>
  <c r="K216"/>
  <c r="K214"/>
  <c r="K208"/>
  <c r="K199"/>
  <c r="K197"/>
  <c r="K195"/>
  <c r="K190"/>
  <c r="K189" s="1"/>
  <c r="E235"/>
  <c r="E234"/>
  <c r="E232"/>
  <c r="E212"/>
  <c r="E205"/>
  <c r="E203"/>
  <c r="E193"/>
  <c r="E192" s="1"/>
  <c r="E229"/>
  <c r="E227"/>
  <c r="E225"/>
  <c r="E223"/>
  <c r="E221"/>
  <c r="E219"/>
  <c r="E217"/>
  <c r="E215"/>
  <c r="E209"/>
  <c r="E207"/>
  <c r="E198"/>
  <c r="E18" s="1"/>
  <c r="E196"/>
  <c r="E191"/>
  <c r="E233"/>
  <c r="E231"/>
  <c r="E211"/>
  <c r="E204"/>
  <c r="E202"/>
  <c r="E188"/>
  <c r="E187" s="1"/>
  <c r="E228"/>
  <c r="E226"/>
  <c r="E224"/>
  <c r="E222"/>
  <c r="E220"/>
  <c r="E218"/>
  <c r="E216"/>
  <c r="E214"/>
  <c r="E208"/>
  <c r="E199"/>
  <c r="E197"/>
  <c r="E195"/>
  <c r="E190"/>
  <c r="P235"/>
  <c r="P233"/>
  <c r="P231"/>
  <c r="P228"/>
  <c r="P226"/>
  <c r="P224"/>
  <c r="P222"/>
  <c r="P220"/>
  <c r="P218"/>
  <c r="P216"/>
  <c r="P214"/>
  <c r="P208"/>
  <c r="P199"/>
  <c r="P197"/>
  <c r="P195"/>
  <c r="P190"/>
  <c r="P211"/>
  <c r="P204"/>
  <c r="P202"/>
  <c r="P188"/>
  <c r="P187" s="1"/>
  <c r="P234"/>
  <c r="P232"/>
  <c r="P229"/>
  <c r="P227"/>
  <c r="P225"/>
  <c r="P223"/>
  <c r="P221"/>
  <c r="P219"/>
  <c r="P217"/>
  <c r="P215"/>
  <c r="P209"/>
  <c r="P207"/>
  <c r="P198"/>
  <c r="P18" s="1"/>
  <c r="P196"/>
  <c r="P191"/>
  <c r="P212"/>
  <c r="P205"/>
  <c r="P203"/>
  <c r="P193"/>
  <c r="P192" s="1"/>
  <c r="I234"/>
  <c r="F234" s="1"/>
  <c r="I232"/>
  <c r="I212"/>
  <c r="F212" s="1"/>
  <c r="I205"/>
  <c r="I203"/>
  <c r="F203" s="1"/>
  <c r="I193"/>
  <c r="I229"/>
  <c r="F229" s="1"/>
  <c r="I227"/>
  <c r="I225"/>
  <c r="F225" s="1"/>
  <c r="I223"/>
  <c r="F223" s="1"/>
  <c r="I221"/>
  <c r="F221" s="1"/>
  <c r="I219"/>
  <c r="F219" s="1"/>
  <c r="I217"/>
  <c r="F217" s="1"/>
  <c r="I215"/>
  <c r="F215" s="1"/>
  <c r="I209"/>
  <c r="I207"/>
  <c r="I198"/>
  <c r="I196"/>
  <c r="I191"/>
  <c r="I235"/>
  <c r="F235" s="1"/>
  <c r="I233"/>
  <c r="I231"/>
  <c r="I211"/>
  <c r="I204"/>
  <c r="F204" s="1"/>
  <c r="I202"/>
  <c r="I188"/>
  <c r="I228"/>
  <c r="I226"/>
  <c r="F226" s="1"/>
  <c r="I224"/>
  <c r="F224" s="1"/>
  <c r="I222"/>
  <c r="I220"/>
  <c r="F220" s="1"/>
  <c r="I218"/>
  <c r="F218" s="1"/>
  <c r="I216"/>
  <c r="I214"/>
  <c r="I208"/>
  <c r="I199"/>
  <c r="F199" s="1"/>
  <c r="I197"/>
  <c r="F197" s="1"/>
  <c r="I195"/>
  <c r="I190"/>
  <c r="M235"/>
  <c r="M231"/>
  <c r="M204"/>
  <c r="M188"/>
  <c r="M187" s="1"/>
  <c r="M226"/>
  <c r="M222"/>
  <c r="M219"/>
  <c r="M217"/>
  <c r="M215"/>
  <c r="M209"/>
  <c r="M207"/>
  <c r="M198"/>
  <c r="M18" s="1"/>
  <c r="M196"/>
  <c r="M191"/>
  <c r="M233"/>
  <c r="M211"/>
  <c r="M210" s="1"/>
  <c r="M202"/>
  <c r="M228"/>
  <c r="M224"/>
  <c r="M220"/>
  <c r="M218"/>
  <c r="M216"/>
  <c r="M214"/>
  <c r="M208"/>
  <c r="M199"/>
  <c r="M197"/>
  <c r="M195"/>
  <c r="M190"/>
  <c r="M189" s="1"/>
  <c r="N235"/>
  <c r="N233"/>
  <c r="N231"/>
  <c r="N228"/>
  <c r="N226"/>
  <c r="N224"/>
  <c r="N222"/>
  <c r="N220"/>
  <c r="N218"/>
  <c r="N216"/>
  <c r="N214"/>
  <c r="N208"/>
  <c r="N199"/>
  <c r="N197"/>
  <c r="N195"/>
  <c r="N190"/>
  <c r="N211"/>
  <c r="N204"/>
  <c r="N202"/>
  <c r="N188"/>
  <c r="N187" s="1"/>
  <c r="N234"/>
  <c r="N232"/>
  <c r="N229"/>
  <c r="N227"/>
  <c r="N225"/>
  <c r="N223"/>
  <c r="N221"/>
  <c r="N219"/>
  <c r="N217"/>
  <c r="N215"/>
  <c r="N209"/>
  <c r="N207"/>
  <c r="N198"/>
  <c r="N18" s="1"/>
  <c r="N196"/>
  <c r="N191"/>
  <c r="N212"/>
  <c r="N205"/>
  <c r="N203"/>
  <c r="N193"/>
  <c r="N192" s="1"/>
  <c r="L234"/>
  <c r="L232"/>
  <c r="L229"/>
  <c r="L227"/>
  <c r="L225"/>
  <c r="L223"/>
  <c r="L221"/>
  <c r="L219"/>
  <c r="L217"/>
  <c r="L215"/>
  <c r="L209"/>
  <c r="L207"/>
  <c r="L198"/>
  <c r="L196"/>
  <c r="L191"/>
  <c r="L212"/>
  <c r="L205"/>
  <c r="L203"/>
  <c r="L193"/>
  <c r="L235"/>
  <c r="L233"/>
  <c r="L231"/>
  <c r="L228"/>
  <c r="L226"/>
  <c r="L224"/>
  <c r="L222"/>
  <c r="L220"/>
  <c r="L218"/>
  <c r="L216"/>
  <c r="L214"/>
  <c r="L208"/>
  <c r="L199"/>
  <c r="L197"/>
  <c r="L195"/>
  <c r="L190"/>
  <c r="L211"/>
  <c r="L204"/>
  <c r="L202"/>
  <c r="L188"/>
  <c r="J237"/>
  <c r="F227" l="1"/>
  <c r="D237"/>
  <c r="J222"/>
  <c r="J203"/>
  <c r="J212"/>
  <c r="J223"/>
  <c r="J227"/>
  <c r="J224"/>
  <c r="J233"/>
  <c r="J205"/>
  <c r="J221"/>
  <c r="J225"/>
  <c r="J229"/>
  <c r="J234"/>
  <c r="J232"/>
  <c r="H186"/>
  <c r="H23" s="1"/>
  <c r="F208"/>
  <c r="F216"/>
  <c r="F228"/>
  <c r="F233"/>
  <c r="F209"/>
  <c r="J204"/>
  <c r="F222"/>
  <c r="F205"/>
  <c r="F232"/>
  <c r="G230"/>
  <c r="G22"/>
  <c r="G210"/>
  <c r="M213"/>
  <c r="J197"/>
  <c r="J208"/>
  <c r="J216"/>
  <c r="J220"/>
  <c r="J228"/>
  <c r="J191"/>
  <c r="J209"/>
  <c r="J217"/>
  <c r="H27"/>
  <c r="H24" s="1"/>
  <c r="J199"/>
  <c r="J218"/>
  <c r="J226"/>
  <c r="J235"/>
  <c r="J215"/>
  <c r="J219"/>
  <c r="F191"/>
  <c r="G21"/>
  <c r="G201"/>
  <c r="G20" s="1"/>
  <c r="G213"/>
  <c r="O189"/>
  <c r="E210"/>
  <c r="G206"/>
  <c r="O210"/>
  <c r="G189"/>
  <c r="G194"/>
  <c r="O19"/>
  <c r="O22"/>
  <c r="O206"/>
  <c r="O17"/>
  <c r="O194"/>
  <c r="O21"/>
  <c r="O201"/>
  <c r="O20" s="1"/>
  <c r="O213"/>
  <c r="O230"/>
  <c r="K201"/>
  <c r="K20" s="1"/>
  <c r="K21"/>
  <c r="K210"/>
  <c r="K17"/>
  <c r="K194"/>
  <c r="K22"/>
  <c r="K19"/>
  <c r="E189"/>
  <c r="K213"/>
  <c r="K230"/>
  <c r="K206"/>
  <c r="E21"/>
  <c r="E201"/>
  <c r="E20" s="1"/>
  <c r="E19"/>
  <c r="E22"/>
  <c r="E206"/>
  <c r="E17"/>
  <c r="E194"/>
  <c r="E16" s="1"/>
  <c r="E213"/>
  <c r="E230"/>
  <c r="I189"/>
  <c r="F190"/>
  <c r="F189" s="1"/>
  <c r="I21"/>
  <c r="F202"/>
  <c r="F21" s="1"/>
  <c r="I201"/>
  <c r="F211"/>
  <c r="I210"/>
  <c r="F210" s="1"/>
  <c r="I18"/>
  <c r="F198"/>
  <c r="F18" s="1"/>
  <c r="P21"/>
  <c r="P201"/>
  <c r="P20" s="1"/>
  <c r="P194"/>
  <c r="P16" s="1"/>
  <c r="P17"/>
  <c r="P210"/>
  <c r="P213"/>
  <c r="P230"/>
  <c r="I17"/>
  <c r="I194"/>
  <c r="F195"/>
  <c r="F17" s="1"/>
  <c r="F214"/>
  <c r="I213"/>
  <c r="F213" s="1"/>
  <c r="I187"/>
  <c r="F188"/>
  <c r="F187" s="1"/>
  <c r="F231"/>
  <c r="I230"/>
  <c r="F230" s="1"/>
  <c r="I19"/>
  <c r="I22"/>
  <c r="F196"/>
  <c r="I206"/>
  <c r="F207"/>
  <c r="I192"/>
  <c r="F192" s="1"/>
  <c r="F193"/>
  <c r="P22"/>
  <c r="P19"/>
  <c r="P206"/>
  <c r="P189"/>
  <c r="M17"/>
  <c r="M194"/>
  <c r="M16" s="1"/>
  <c r="M21"/>
  <c r="M201"/>
  <c r="M20" s="1"/>
  <c r="M19"/>
  <c r="M22"/>
  <c r="M206"/>
  <c r="M230"/>
  <c r="N21"/>
  <c r="N201"/>
  <c r="N20" s="1"/>
  <c r="N194"/>
  <c r="N16" s="1"/>
  <c r="N17"/>
  <c r="N210"/>
  <c r="N213"/>
  <c r="N230"/>
  <c r="N22"/>
  <c r="N19"/>
  <c r="N206"/>
  <c r="N189"/>
  <c r="L187"/>
  <c r="J188"/>
  <c r="J187" s="1"/>
  <c r="J190"/>
  <c r="L189"/>
  <c r="J189" s="1"/>
  <c r="L192"/>
  <c r="J192" s="1"/>
  <c r="J193"/>
  <c r="L18"/>
  <c r="J198"/>
  <c r="J18" s="1"/>
  <c r="J202"/>
  <c r="L201"/>
  <c r="L21"/>
  <c r="L210"/>
  <c r="J210" s="1"/>
  <c r="J211"/>
  <c r="J195"/>
  <c r="J17" s="1"/>
  <c r="L17"/>
  <c r="L194"/>
  <c r="J214"/>
  <c r="L213"/>
  <c r="J231"/>
  <c r="L230"/>
  <c r="L19"/>
  <c r="J196"/>
  <c r="L22"/>
  <c r="L206"/>
  <c r="J206" s="1"/>
  <c r="J207"/>
  <c r="J230" l="1"/>
  <c r="J213"/>
  <c r="F206"/>
  <c r="M186"/>
  <c r="M23" s="1"/>
  <c r="D47" i="3" s="1"/>
  <c r="G16" i="4"/>
  <c r="G186"/>
  <c r="O16"/>
  <c r="O186"/>
  <c r="K186"/>
  <c r="K16"/>
  <c r="E186"/>
  <c r="I20"/>
  <c r="F201"/>
  <c r="F20" s="1"/>
  <c r="F19"/>
  <c r="F22"/>
  <c r="I16"/>
  <c r="F194"/>
  <c r="P186"/>
  <c r="I186"/>
  <c r="N186"/>
  <c r="J21"/>
  <c r="E38" i="8"/>
  <c r="L186" i="4"/>
  <c r="J19"/>
  <c r="J22"/>
  <c r="L16"/>
  <c r="J194"/>
  <c r="L20"/>
  <c r="J201"/>
  <c r="J20" s="1"/>
  <c r="M27" l="1"/>
  <c r="M24" s="1"/>
  <c r="G23"/>
  <c r="G27"/>
  <c r="G24" s="1"/>
  <c r="O23"/>
  <c r="D51" i="3" s="1"/>
  <c r="D84" s="1"/>
  <c r="O27" i="4"/>
  <c r="O24" s="1"/>
  <c r="K27"/>
  <c r="K24" s="1"/>
  <c r="K23"/>
  <c r="D45" i="3" s="1"/>
  <c r="E27" i="4"/>
  <c r="E24" s="1"/>
  <c r="E23"/>
  <c r="D49" i="3" s="1"/>
  <c r="D82" s="1"/>
  <c r="D96" s="1"/>
  <c r="P27" i="4"/>
  <c r="P24" s="1"/>
  <c r="P23"/>
  <c r="D52" i="3" s="1"/>
  <c r="I27" i="4"/>
  <c r="I23"/>
  <c r="F16"/>
  <c r="F186"/>
  <c r="F23" s="1"/>
  <c r="D43" i="3" s="1"/>
  <c r="D76" s="1"/>
  <c r="D90" s="1"/>
  <c r="N23" i="4"/>
  <c r="D48" i="3" s="1"/>
  <c r="D81" s="1"/>
  <c r="D95" s="1"/>
  <c r="N27" i="4"/>
  <c r="N24" s="1"/>
  <c r="J16"/>
  <c r="J186"/>
  <c r="J23" s="1"/>
  <c r="D44" i="3" s="1"/>
  <c r="L27" i="4"/>
  <c r="L23"/>
  <c r="D46" i="3" s="1"/>
  <c r="E37" i="8"/>
  <c r="E39"/>
  <c r="D19" i="3" l="1"/>
  <c r="D79" s="1"/>
  <c r="D93" s="1"/>
  <c r="I24" i="4"/>
  <c r="F27"/>
  <c r="F24" s="1"/>
  <c r="D85" i="3"/>
  <c r="D50"/>
  <c r="D83" s="1"/>
  <c r="L24" i="4"/>
  <c r="J27"/>
  <c r="D16" i="3"/>
  <c r="D23"/>
  <c r="D80" s="1"/>
  <c r="D94" s="1"/>
  <c r="D42"/>
  <c r="D41" l="1"/>
  <c r="D78"/>
  <c r="D92" s="1"/>
  <c r="D15"/>
  <c r="J24" i="4"/>
  <c r="D24" s="1"/>
  <c r="D27"/>
  <c r="D11" i="3" l="1"/>
  <c r="D75" s="1"/>
  <c r="D89" s="1"/>
  <c r="D77"/>
  <c r="D91" s="1"/>
</calcChain>
</file>

<file path=xl/sharedStrings.xml><?xml version="1.0" encoding="utf-8"?>
<sst xmlns="http://schemas.openxmlformats.org/spreadsheetml/2006/main" count="2531" uniqueCount="1247">
  <si>
    <t>Ūkio subjektas: Uždaroji akcinė bendrovė "Trakų vandenys"</t>
  </si>
  <si>
    <t>Ataskaitinis laikotarpis: 2019-01-01 - 2020-01-01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</si>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</sst>
</file>

<file path=xl/styles.xml><?xml version="1.0" encoding="utf-8"?>
<styleSheet xmlns="http://schemas.openxmlformats.org/spreadsheetml/2006/main">
  <numFmts count="11">
    <numFmt numFmtId="43" formatCode="_-* #,##0.00\ _€_-;\-* #,##0.00\ _€_-;_-* &quot;-&quot;??\ _€_-;_-@_-"/>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L_t_-;\-* #,##0.00\ _L_t_-;_-* &quot;-&quot;??\ _L_t_-;_-@_-"/>
  </numFmts>
  <fonts count="47">
    <font>
      <sz val="11"/>
      <name val="Calibri"/>
      <family val="2"/>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scheme val="minor"/>
    </font>
    <font>
      <sz val="11"/>
      <color rgb="FFFF0000"/>
      <name val="Calibri"/>
      <scheme val="minor"/>
    </font>
    <font>
      <b/>
      <sz val="8"/>
      <name val="Arial"/>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sz val="12"/>
      <name val="Times New Roman"/>
      <family val="1"/>
      <charset val="186"/>
    </font>
    <font>
      <sz val="11"/>
      <color theme="1"/>
      <name val="Calibri"/>
      <charset val="186"/>
      <scheme val="minor"/>
    </font>
    <font>
      <sz val="1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46" fillId="0" borderId="0"/>
    <xf numFmtId="0" fontId="44" fillId="0" borderId="0"/>
    <xf numFmtId="43" fontId="45" fillId="0" borderId="0" applyFont="0" applyFill="0" applyBorder="0" applyAlignment="0" applyProtection="0"/>
    <xf numFmtId="0" fontId="46" fillId="0" borderId="0"/>
    <xf numFmtId="0" fontId="46" fillId="0" borderId="0"/>
    <xf numFmtId="0" fontId="46" fillId="0" borderId="0"/>
    <xf numFmtId="0" fontId="46" fillId="0" borderId="0"/>
    <xf numFmtId="173" fontId="45" fillId="0" borderId="0" applyFont="0" applyFill="0" applyBorder="0" applyAlignment="0" applyProtection="0"/>
    <xf numFmtId="0" fontId="46" fillId="0" borderId="0"/>
  </cellStyleXfs>
  <cellXfs count="1367">
    <xf numFmtId="0" fontId="0" fillId="0" borderId="0" xfId="0"/>
    <xf numFmtId="0" fontId="1" fillId="0" borderId="0" xfId="1" applyFont="1"/>
    <xf numFmtId="0" fontId="2" fillId="0" borderId="0" xfId="0" applyFont="1"/>
    <xf numFmtId="0" fontId="3" fillId="0" borderId="0" xfId="0" applyFont="1"/>
    <xf numFmtId="0" fontId="4" fillId="0" borderId="0" xfId="1" applyFont="1" applyProtection="1"/>
    <xf numFmtId="0" fontId="5" fillId="0" borderId="0" xfId="0" applyFont="1"/>
    <xf numFmtId="0" fontId="5" fillId="0" borderId="4" xfId="0" applyFont="1" applyBorder="1"/>
    <xf numFmtId="0" fontId="7" fillId="2" borderId="5" xfId="2"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xf>
    <xf numFmtId="0" fontId="7" fillId="2" borderId="6" xfId="2" applyFont="1" applyFill="1" applyBorder="1" applyAlignment="1" applyProtection="1">
      <alignment horizontal="left"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49" fontId="8" fillId="2" borderId="6" xfId="2" applyNumberFormat="1"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8" fillId="2" borderId="7" xfId="2" applyFont="1" applyFill="1" applyBorder="1" applyAlignment="1" applyProtection="1">
      <alignment horizontal="left" vertical="center" wrapText="1"/>
    </xf>
    <xf numFmtId="0" fontId="8" fillId="2" borderId="8" xfId="2" applyFont="1" applyFill="1" applyBorder="1" applyAlignment="1" applyProtection="1">
      <alignment horizontal="center" vertical="center"/>
    </xf>
    <xf numFmtId="0" fontId="7" fillId="2" borderId="8" xfId="2" applyFont="1" applyFill="1" applyBorder="1" applyAlignment="1" applyProtection="1">
      <alignment horizontal="left" vertical="center" wrapText="1"/>
    </xf>
    <xf numFmtId="0" fontId="8" fillId="2" borderId="9" xfId="2" applyFont="1" applyFill="1" applyBorder="1" applyAlignment="1" applyProtection="1">
      <alignment horizontal="center" vertical="center"/>
    </xf>
    <xf numFmtId="0" fontId="8" fillId="2" borderId="9" xfId="2" applyFont="1" applyFill="1" applyBorder="1" applyAlignment="1" applyProtection="1">
      <alignment horizontal="left" vertical="center" wrapText="1"/>
    </xf>
    <xf numFmtId="2" fontId="8" fillId="2" borderId="6" xfId="2" applyNumberFormat="1" applyFont="1" applyFill="1" applyBorder="1" applyAlignment="1" applyProtection="1">
      <alignment horizontal="left" vertical="center" wrapText="1"/>
    </xf>
    <xf numFmtId="2" fontId="8" fillId="2" borderId="7" xfId="2" applyNumberFormat="1" applyFont="1" applyFill="1" applyBorder="1" applyAlignment="1" applyProtection="1">
      <alignment horizontal="left" vertical="center" wrapText="1"/>
    </xf>
    <xf numFmtId="0" fontId="8" fillId="2" borderId="10" xfId="2" applyFont="1" applyFill="1" applyBorder="1" applyAlignment="1" applyProtection="1">
      <alignment horizontal="center" vertical="center"/>
    </xf>
    <xf numFmtId="2" fontId="8" fillId="2" borderId="10" xfId="2" applyNumberFormat="1" applyFont="1" applyFill="1" applyBorder="1" applyAlignment="1" applyProtection="1">
      <alignment horizontal="left" vertical="center" wrapText="1"/>
    </xf>
    <xf numFmtId="0" fontId="8" fillId="2" borderId="7"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xf>
    <xf numFmtId="0" fontId="8" fillId="2" borderId="10" xfId="2" applyFont="1" applyFill="1" applyBorder="1" applyAlignment="1" applyProtection="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4" xfId="0" applyFont="1" applyBorder="1"/>
    <xf numFmtId="0" fontId="15"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4" xfId="1" applyFont="1" applyBorder="1"/>
    <xf numFmtId="0" fontId="10" fillId="0" borderId="4" xfId="1" applyFont="1" applyBorder="1"/>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5" fontId="18" fillId="2" borderId="17" xfId="1" applyNumberFormat="1" applyFont="1" applyFill="1" applyBorder="1" applyAlignment="1">
      <alignment horizontal="center" vertical="center"/>
    </xf>
    <xf numFmtId="0" fontId="6" fillId="2" borderId="18" xfId="1" applyFont="1" applyFill="1" applyBorder="1"/>
    <xf numFmtId="166"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6"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6"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6"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6"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6" fontId="18" fillId="2" borderId="23" xfId="1" applyNumberFormat="1" applyFont="1" applyFill="1" applyBorder="1" applyAlignment="1">
      <alignment horizontal="center" vertical="center"/>
    </xf>
    <xf numFmtId="166"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6"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0" fillId="0" borderId="0" xfId="1" applyFont="1" applyAlignment="1">
      <alignment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Fill="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4" fontId="18" fillId="0" borderId="14"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6" fontId="5" fillId="0" borderId="0" xfId="0" applyNumberFormat="1" applyFont="1"/>
    <xf numFmtId="166"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15" fillId="2" borderId="42"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43"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wrapText="1"/>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20" fillId="2" borderId="50"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1"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52"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1"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52"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166" fontId="2" fillId="0" borderId="0" xfId="0" applyNumberFormat="1" applyFont="1"/>
    <xf numFmtId="4" fontId="20" fillId="2" borderId="9" xfId="0" applyNumberFormat="1" applyFont="1" applyFill="1" applyBorder="1" applyAlignment="1">
      <alignment horizontal="center" vertical="center"/>
    </xf>
    <xf numFmtId="4" fontId="20" fillId="2" borderId="55"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56"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xf>
    <xf numFmtId="4" fontId="20" fillId="2" borderId="58"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5" xfId="0" applyNumberFormat="1" applyFont="1" applyFill="1" applyBorder="1" applyAlignment="1">
      <alignment horizontal="right" wrapText="1"/>
    </xf>
    <xf numFmtId="4" fontId="5" fillId="0" borderId="0" xfId="0" applyNumberFormat="1" applyFont="1"/>
    <xf numFmtId="4" fontId="15" fillId="2" borderId="60" xfId="0" applyNumberFormat="1" applyFont="1" applyFill="1" applyBorder="1" applyAlignment="1">
      <alignment horizontal="center" vertical="center" wrapText="1"/>
    </xf>
    <xf numFmtId="4" fontId="15" fillId="2" borderId="61" xfId="0" applyNumberFormat="1" applyFont="1" applyFill="1" applyBorder="1" applyAlignment="1">
      <alignment horizontal="left" vertical="center" wrapText="1"/>
    </xf>
    <xf numFmtId="166" fontId="15" fillId="2" borderId="61" xfId="0" applyNumberFormat="1" applyFont="1" applyFill="1" applyBorder="1" applyAlignment="1">
      <alignment horizontal="center" vertical="center" wrapText="1"/>
    </xf>
    <xf numFmtId="166" fontId="15" fillId="2" borderId="62" xfId="0" applyNumberFormat="1" applyFont="1" applyFill="1" applyBorder="1" applyAlignment="1">
      <alignment horizontal="center" vertical="center" wrapText="1"/>
    </xf>
    <xf numFmtId="166" fontId="15" fillId="2" borderId="60" xfId="0" applyNumberFormat="1" applyFont="1" applyFill="1" applyBorder="1" applyAlignment="1">
      <alignment horizontal="center" vertical="center" wrapText="1"/>
    </xf>
    <xf numFmtId="166" fontId="15" fillId="2" borderId="63" xfId="0" applyNumberFormat="1" applyFont="1" applyFill="1" applyBorder="1" applyAlignment="1">
      <alignment horizontal="center" vertical="center" wrapText="1"/>
    </xf>
    <xf numFmtId="166" fontId="15" fillId="2" borderId="64" xfId="0" applyNumberFormat="1" applyFont="1" applyFill="1" applyBorder="1" applyAlignment="1">
      <alignment horizontal="center" vertical="center" wrapText="1"/>
    </xf>
    <xf numFmtId="166" fontId="15" fillId="2" borderId="43" xfId="0" applyNumberFormat="1" applyFont="1" applyFill="1" applyBorder="1" applyAlignment="1">
      <alignment horizontal="center" vertical="center" wrapText="1"/>
    </xf>
    <xf numFmtId="166" fontId="21" fillId="2" borderId="60" xfId="0" applyNumberFormat="1" applyFont="1" applyFill="1" applyBorder="1" applyAlignment="1">
      <alignment horizontal="center" vertical="center" wrapText="1"/>
    </xf>
    <xf numFmtId="4" fontId="15" fillId="2" borderId="65" xfId="0" applyNumberFormat="1" applyFont="1" applyFill="1" applyBorder="1" applyAlignment="1">
      <alignment horizontal="center" vertical="center" wrapText="1"/>
    </xf>
    <xf numFmtId="4" fontId="15" fillId="2" borderId="66" xfId="0" applyNumberFormat="1" applyFont="1" applyFill="1" applyBorder="1" applyAlignment="1">
      <alignment horizontal="center" vertical="center" wrapText="1"/>
    </xf>
    <xf numFmtId="4" fontId="15" fillId="2" borderId="67" xfId="0" applyNumberFormat="1" applyFont="1" applyFill="1" applyBorder="1" applyAlignment="1">
      <alignment horizontal="center" vertical="center" wrapText="1"/>
    </xf>
    <xf numFmtId="4" fontId="15" fillId="2" borderId="68"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21" fillId="2" borderId="65" xfId="0" applyNumberFormat="1" applyFont="1" applyFill="1" applyBorder="1" applyAlignment="1">
      <alignment horizontal="center" vertical="center" wrapText="1"/>
    </xf>
    <xf numFmtId="166" fontId="3" fillId="0" borderId="0" xfId="0" applyNumberFormat="1" applyFont="1"/>
    <xf numFmtId="4" fontId="21" fillId="2" borderId="8" xfId="0" applyNumberFormat="1" applyFont="1" applyFill="1" applyBorder="1" applyAlignment="1">
      <alignment horizontal="center" vertical="center" wrapText="1"/>
    </xf>
    <xf numFmtId="4" fontId="15" fillId="2" borderId="53"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71" xfId="0" applyNumberFormat="1" applyFont="1" applyFill="1" applyBorder="1" applyAlignment="1">
      <alignment horizontal="right" vertical="center" wrapText="1"/>
    </xf>
    <xf numFmtId="4" fontId="10" fillId="2" borderId="71" xfId="0" applyNumberFormat="1" applyFont="1" applyFill="1" applyBorder="1" applyAlignment="1">
      <alignment horizontal="center" vertical="center" wrapText="1"/>
    </xf>
    <xf numFmtId="4" fontId="10" fillId="2" borderId="72" xfId="0" applyNumberFormat="1" applyFont="1" applyFill="1" applyBorder="1" applyAlignment="1">
      <alignment horizontal="center" vertical="center" wrapText="1"/>
    </xf>
    <xf numFmtId="4" fontId="10" fillId="2" borderId="73" xfId="0" applyNumberFormat="1" applyFont="1" applyFill="1" applyBorder="1" applyAlignment="1">
      <alignment horizontal="center" vertical="center" wrapText="1"/>
    </xf>
    <xf numFmtId="4" fontId="10" fillId="2" borderId="74" xfId="0" applyNumberFormat="1" applyFont="1" applyFill="1" applyBorder="1" applyAlignment="1">
      <alignment horizontal="center" vertical="center" wrapText="1"/>
    </xf>
    <xf numFmtId="4" fontId="10" fillId="2" borderId="75" xfId="0" applyNumberFormat="1" applyFont="1" applyFill="1" applyBorder="1" applyAlignment="1">
      <alignment horizontal="center" vertical="center" wrapText="1"/>
    </xf>
    <xf numFmtId="4" fontId="10" fillId="2" borderId="76"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2" borderId="50"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Fill="1" applyBorder="1" applyAlignment="1" applyProtection="1">
      <alignment horizontal="center" vertical="center" wrapText="1"/>
      <protection locked="0"/>
    </xf>
    <xf numFmtId="4" fontId="15" fillId="0" borderId="38" xfId="0" applyNumberFormat="1" applyFont="1" applyFill="1" applyBorder="1" applyAlignment="1" applyProtection="1">
      <alignment horizontal="center" vertical="center" wrapText="1"/>
      <protection locked="0"/>
    </xf>
    <xf numFmtId="4" fontId="15" fillId="0" borderId="31" xfId="0" applyNumberFormat="1" applyFont="1" applyFill="1" applyBorder="1" applyAlignment="1" applyProtection="1">
      <alignment horizontal="center" vertical="center" wrapText="1"/>
      <protection locked="0"/>
    </xf>
    <xf numFmtId="4" fontId="15" fillId="0" borderId="29" xfId="0" applyNumberFormat="1" applyFont="1" applyFill="1" applyBorder="1" applyAlignment="1" applyProtection="1">
      <alignment horizontal="center" vertical="center" wrapText="1"/>
      <protection locked="0"/>
    </xf>
    <xf numFmtId="4" fontId="15" fillId="0" borderId="52" xfId="0" applyNumberFormat="1" applyFont="1" applyFill="1" applyBorder="1" applyAlignment="1" applyProtection="1">
      <alignment horizontal="center" vertical="center" wrapText="1"/>
      <protection locked="0"/>
    </xf>
    <xf numFmtId="4" fontId="15" fillId="0" borderId="9" xfId="0" applyNumberFormat="1" applyFont="1" applyFill="1" applyBorder="1" applyAlignment="1" applyProtection="1">
      <alignment horizontal="center" vertical="center" wrapText="1"/>
      <protection locked="0"/>
    </xf>
    <xf numFmtId="4" fontId="15" fillId="2" borderId="53" xfId="0" applyNumberFormat="1" applyFont="1" applyFill="1" applyBorder="1" applyAlignment="1">
      <alignment horizontal="left" wrapText="1"/>
    </xf>
    <xf numFmtId="4" fontId="10" fillId="0" borderId="56" xfId="0" applyNumberFormat="1" applyFont="1" applyBorder="1" applyAlignment="1" applyProtection="1">
      <alignment horizontal="center" vertical="center" wrapText="1"/>
      <protection locked="0"/>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30" xfId="0" applyNumberFormat="1" applyFont="1" applyBorder="1" applyAlignment="1" applyProtection="1">
      <alignment horizontal="center" vertical="center" wrapText="1"/>
      <protection locked="0"/>
    </xf>
    <xf numFmtId="4" fontId="10" fillId="3" borderId="56" xfId="0" applyNumberFormat="1" applyFont="1" applyFill="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77" xfId="0" applyNumberFormat="1" applyFont="1" applyFill="1" applyBorder="1" applyAlignment="1">
      <alignment horizontal="right" wrapText="1"/>
    </xf>
    <xf numFmtId="4" fontId="15" fillId="0" borderId="54" xfId="0" applyNumberFormat="1" applyFont="1" applyBorder="1" applyAlignment="1" applyProtection="1">
      <alignment horizontal="center" vertical="center" wrapText="1"/>
      <protection locked="0"/>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3" xfId="0" applyNumberFormat="1" applyFont="1" applyFill="1" applyBorder="1" applyAlignment="1" applyProtection="1">
      <alignment horizontal="center" vertical="center" wrapText="1"/>
      <protection locked="0"/>
    </xf>
    <xf numFmtId="4" fontId="15" fillId="3" borderId="54" xfId="0" applyNumberFormat="1" applyFont="1" applyFill="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59" xfId="0" applyNumberFormat="1" applyFont="1" applyFill="1" applyBorder="1" applyAlignment="1" applyProtection="1">
      <alignment horizontal="center" vertical="center" wrapText="1"/>
      <protection locked="0"/>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56" xfId="0" applyNumberFormat="1" applyFont="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59" xfId="0" applyNumberFormat="1" applyFont="1" applyBorder="1" applyAlignment="1" applyProtection="1">
      <alignment horizontal="center" vertical="center" wrapText="1"/>
      <protection locked="0"/>
    </xf>
    <xf numFmtId="4" fontId="20" fillId="0" borderId="25" xfId="0" applyNumberFormat="1" applyFont="1" applyBorder="1" applyAlignment="1" applyProtection="1">
      <alignment horizontal="center" vertical="center" wrapText="1"/>
      <protection locked="0"/>
    </xf>
    <xf numFmtId="4" fontId="20" fillId="0" borderId="26"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20" fillId="3" borderId="56"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3" borderId="78"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34" xfId="0" applyNumberFormat="1" applyFont="1" applyBorder="1" applyAlignment="1" applyProtection="1">
      <alignment horizontal="center" vertical="center" wrapText="1"/>
      <protection locked="0"/>
    </xf>
    <xf numFmtId="4" fontId="20" fillId="0" borderId="35" xfId="0" applyNumberFormat="1" applyFont="1" applyBorder="1" applyAlignment="1" applyProtection="1">
      <alignment horizontal="center" vertical="center" wrapText="1"/>
      <protection locked="0"/>
    </xf>
    <xf numFmtId="4" fontId="20" fillId="0" borderId="33" xfId="0" applyNumberFormat="1" applyFont="1" applyBorder="1" applyAlignment="1" applyProtection="1">
      <alignment horizontal="center" vertical="center" wrapText="1"/>
      <protection locked="0"/>
    </xf>
    <xf numFmtId="4" fontId="20" fillId="0" borderId="78" xfId="0" applyNumberFormat="1" applyFont="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0" borderId="59"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0" borderId="52" xfId="0" applyNumberFormat="1" applyFont="1" applyBorder="1" applyAlignment="1" applyProtection="1">
      <alignment horizontal="center" vertical="center" wrapText="1"/>
      <protection locked="0"/>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59" xfId="0" applyNumberFormat="1" applyFont="1" applyBorder="1" applyAlignment="1" applyProtection="1">
      <alignment horizontal="center" vertical="center" wrapText="1"/>
      <protection locked="0"/>
    </xf>
    <xf numFmtId="4" fontId="10" fillId="0" borderId="25"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0" fillId="0" borderId="7" xfId="0" applyNumberFormat="1" applyFont="1" applyBorder="1" applyAlignment="1" applyProtection="1">
      <alignment horizontal="center" vertical="center" wrapText="1"/>
      <protection locked="0"/>
    </xf>
    <xf numFmtId="166" fontId="15" fillId="2" borderId="46" xfId="0" applyNumberFormat="1" applyFont="1" applyFill="1" applyBorder="1" applyAlignment="1">
      <alignment horizontal="center" vertical="center"/>
    </xf>
    <xf numFmtId="166" fontId="15" fillId="0" borderId="79" xfId="0" applyNumberFormat="1" applyFont="1" applyBorder="1" applyAlignment="1">
      <alignment horizontal="center" vertical="center" wrapText="1"/>
    </xf>
    <xf numFmtId="166" fontId="15" fillId="0" borderId="0" xfId="0" applyNumberFormat="1" applyFont="1" applyAlignment="1">
      <alignment horizontal="center" vertical="center" wrapText="1"/>
    </xf>
    <xf numFmtId="4" fontId="15" fillId="2" borderId="55" xfId="0" applyNumberFormat="1" applyFont="1" applyFill="1" applyBorder="1" applyAlignment="1">
      <alignment horizontal="left" vertical="center" wrapText="1"/>
    </xf>
    <xf numFmtId="166" fontId="15" fillId="2" borderId="30" xfId="0" applyNumberFormat="1"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166" fontId="10" fillId="0" borderId="30" xfId="0" applyNumberFormat="1" applyFont="1" applyBorder="1" applyAlignment="1" applyProtection="1">
      <alignment horizontal="center" vertical="center" wrapText="1"/>
      <protection locked="0"/>
    </xf>
    <xf numFmtId="166" fontId="10" fillId="0" borderId="79"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5" fillId="2" borderId="53" xfId="0" applyNumberFormat="1" applyFont="1" applyFill="1" applyBorder="1" applyAlignment="1">
      <alignment horizontal="center" vertical="center" wrapText="1"/>
    </xf>
    <xf numFmtId="166" fontId="15" fillId="3" borderId="53" xfId="0" applyNumberFormat="1" applyFont="1" applyFill="1" applyBorder="1" applyAlignment="1" applyProtection="1">
      <alignment horizontal="center" vertical="center" wrapText="1"/>
      <protection locked="0"/>
    </xf>
    <xf numFmtId="166" fontId="15" fillId="3" borderId="79" xfId="0" applyNumberFormat="1" applyFont="1" applyFill="1" applyBorder="1" applyAlignment="1">
      <alignment horizontal="center" vertical="center" wrapText="1"/>
    </xf>
    <xf numFmtId="166" fontId="10" fillId="3" borderId="79" xfId="0" applyNumberFormat="1" applyFont="1" applyFill="1" applyBorder="1" applyAlignment="1">
      <alignment horizontal="center" vertical="center" wrapText="1"/>
    </xf>
    <xf numFmtId="166" fontId="10" fillId="0" borderId="32" xfId="0" applyNumberFormat="1" applyFont="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166" fontId="10" fillId="3" borderId="32" xfId="0" applyNumberFormat="1" applyFont="1" applyFill="1" applyBorder="1" applyAlignment="1" applyProtection="1">
      <alignment horizontal="center" vertical="center" wrapText="1"/>
      <protection locked="0"/>
    </xf>
    <xf numFmtId="166" fontId="10" fillId="0" borderId="33" xfId="0" applyNumberFormat="1" applyFont="1" applyBorder="1" applyAlignment="1" applyProtection="1">
      <alignment horizontal="center" vertical="center" wrapText="1"/>
      <protection locked="0"/>
    </xf>
    <xf numFmtId="4" fontId="10" fillId="2" borderId="78" xfId="0" applyNumberFormat="1" applyFont="1" applyFill="1" applyBorder="1" applyAlignment="1">
      <alignment horizontal="center" vertical="center" wrapText="1"/>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166" fontId="15" fillId="0" borderId="32" xfId="0" applyNumberFormat="1" applyFont="1" applyBorder="1" applyAlignment="1" applyProtection="1">
      <alignment horizontal="center" vertical="center" wrapText="1"/>
      <protection locked="0"/>
    </xf>
    <xf numFmtId="4" fontId="15" fillId="2" borderId="59" xfId="0" applyNumberFormat="1" applyFont="1" applyFill="1" applyBorder="1" applyAlignment="1">
      <alignment horizontal="center" vertical="center" wrapText="1"/>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6" fontId="10" fillId="0" borderId="29" xfId="0" applyNumberFormat="1" applyFont="1" applyBorder="1" applyAlignment="1" applyProtection="1">
      <alignment horizontal="center" vertical="center" wrapText="1"/>
      <protection locked="0"/>
    </xf>
    <xf numFmtId="4" fontId="10" fillId="2" borderId="52" xfId="0" applyNumberFormat="1" applyFont="1" applyFill="1" applyBorder="1" applyAlignment="1">
      <alignment horizontal="center" vertical="center" wrapText="1"/>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80" xfId="0" applyNumberFormat="1" applyFont="1" applyFill="1" applyBorder="1" applyAlignment="1">
      <alignment horizontal="center" vertical="center" wrapText="1"/>
    </xf>
    <xf numFmtId="2" fontId="15" fillId="2" borderId="52"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0" fillId="2" borderId="81" xfId="0" applyNumberFormat="1" applyFont="1" applyFill="1" applyBorder="1" applyAlignment="1">
      <alignment horizontal="center" vertical="center" wrapText="1"/>
    </xf>
    <xf numFmtId="2" fontId="10" fillId="0" borderId="52" xfId="0" applyNumberFormat="1" applyFont="1" applyBorder="1" applyAlignment="1" applyProtection="1">
      <alignment horizontal="center" vertical="center" wrapText="1"/>
      <protection locked="0"/>
    </xf>
    <xf numFmtId="2" fontId="10" fillId="2" borderId="6" xfId="0" applyNumberFormat="1" applyFont="1" applyFill="1" applyBorder="1" applyAlignment="1">
      <alignment horizontal="center" vertical="center" wrapText="1"/>
    </xf>
    <xf numFmtId="0" fontId="10" fillId="2" borderId="79" xfId="0" applyFont="1" applyFill="1" applyBorder="1" applyAlignment="1">
      <alignment horizontal="center" vertical="center"/>
    </xf>
    <xf numFmtId="2" fontId="10" fillId="2" borderId="82" xfId="0" applyNumberFormat="1" applyFont="1" applyFill="1" applyBorder="1" applyAlignment="1">
      <alignment horizontal="center" vertical="center" wrapText="1"/>
    </xf>
    <xf numFmtId="2" fontId="10" fillId="0" borderId="83" xfId="0" applyNumberFormat="1" applyFont="1" applyBorder="1" applyAlignment="1" applyProtection="1">
      <alignment horizontal="center" vertical="center" wrapText="1"/>
      <protection locked="0"/>
    </xf>
    <xf numFmtId="2" fontId="10" fillId="2" borderId="7" xfId="0" applyNumberFormat="1" applyFont="1" applyFill="1" applyBorder="1" applyAlignment="1">
      <alignment horizontal="center" vertical="center" wrapText="1"/>
    </xf>
    <xf numFmtId="0" fontId="10" fillId="2" borderId="53" xfId="0" applyFont="1" applyFill="1" applyBorder="1" applyAlignment="1">
      <alignment horizontal="center" vertical="center"/>
    </xf>
    <xf numFmtId="0" fontId="10" fillId="2" borderId="53" xfId="0" applyFont="1" applyFill="1" applyBorder="1" applyAlignment="1">
      <alignment horizontal="left" vertical="center" wrapText="1"/>
    </xf>
    <xf numFmtId="2" fontId="15" fillId="2" borderId="54"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84" xfId="0" applyNumberFormat="1" applyFont="1" applyFill="1" applyBorder="1" applyAlignment="1">
      <alignment horizontal="center" vertical="center" wrapText="1"/>
    </xf>
    <xf numFmtId="2" fontId="10" fillId="0" borderId="41" xfId="0" applyNumberFormat="1" applyFont="1" applyBorder="1" applyAlignment="1" applyProtection="1">
      <alignment horizontal="center" vertical="center" wrapText="1"/>
      <protection locked="0"/>
    </xf>
    <xf numFmtId="2" fontId="10" fillId="2" borderId="5" xfId="0" applyNumberFormat="1" applyFont="1" applyFill="1" applyBorder="1" applyAlignment="1">
      <alignment horizontal="center" vertical="center" wrapText="1"/>
    </xf>
    <xf numFmtId="4" fontId="10" fillId="2" borderId="30" xfId="0" applyNumberFormat="1" applyFont="1" applyFill="1" applyBorder="1" applyAlignment="1">
      <alignment horizontal="left" wrapText="1"/>
    </xf>
    <xf numFmtId="2" fontId="10" fillId="0" borderId="56" xfId="0" applyNumberFormat="1" applyFont="1" applyBorder="1" applyAlignment="1" applyProtection="1">
      <alignment horizontal="center" vertical="center" wrapText="1"/>
      <protection locked="0"/>
    </xf>
    <xf numFmtId="0" fontId="10" fillId="2" borderId="61" xfId="0" applyFont="1" applyFill="1" applyBorder="1" applyAlignment="1">
      <alignment horizontal="center" vertical="center"/>
    </xf>
    <xf numFmtId="0" fontId="10" fillId="2" borderId="61" xfId="0" applyFont="1" applyFill="1" applyBorder="1" applyAlignment="1">
      <alignment horizontal="left" vertical="center" wrapText="1"/>
    </xf>
    <xf numFmtId="2" fontId="10" fillId="2" borderId="85" xfId="0" applyNumberFormat="1" applyFont="1" applyFill="1" applyBorder="1" applyAlignment="1">
      <alignment horizontal="center" vertical="center" wrapText="1"/>
    </xf>
    <xf numFmtId="2" fontId="10" fillId="0" borderId="62" xfId="0" applyNumberFormat="1" applyFont="1" applyBorder="1" applyAlignment="1" applyProtection="1">
      <alignment horizontal="center" vertical="center" wrapText="1"/>
      <protection locked="0"/>
    </xf>
    <xf numFmtId="2" fontId="10" fillId="2" borderId="60" xfId="0" applyNumberFormat="1" applyFont="1" applyFill="1" applyBorder="1" applyAlignment="1">
      <alignment horizontal="center" vertical="center" wrapText="1"/>
    </xf>
    <xf numFmtId="167" fontId="15" fillId="2" borderId="47" xfId="0" applyNumberFormat="1" applyFont="1" applyFill="1" applyBorder="1" applyAlignment="1">
      <alignment horizontal="center" vertical="center"/>
    </xf>
    <xf numFmtId="4" fontId="15" fillId="2" borderId="86" xfId="0" applyNumberFormat="1" applyFont="1" applyFill="1" applyBorder="1" applyAlignment="1">
      <alignment horizontal="center" vertical="center"/>
    </xf>
    <xf numFmtId="4" fontId="15" fillId="2" borderId="86" xfId="0" applyNumberFormat="1" applyFont="1" applyFill="1" applyBorder="1" applyAlignment="1">
      <alignment horizontal="left" vertical="center" wrapText="1"/>
    </xf>
    <xf numFmtId="166" fontId="15" fillId="2" borderId="87" xfId="0" applyNumberFormat="1" applyFont="1" applyFill="1" applyBorder="1" applyAlignment="1">
      <alignment horizontal="center" vertical="center"/>
    </xf>
    <xf numFmtId="167" fontId="15" fillId="2" borderId="88" xfId="0" applyNumberFormat="1" applyFont="1" applyFill="1" applyBorder="1" applyAlignment="1">
      <alignment horizontal="center" vertical="center"/>
    </xf>
    <xf numFmtId="4" fontId="15" fillId="2" borderId="89" xfId="0" applyNumberFormat="1" applyFont="1" applyFill="1" applyBorder="1" applyAlignment="1">
      <alignment horizontal="center" vertical="center"/>
    </xf>
    <xf numFmtId="4" fontId="15" fillId="2" borderId="90" xfId="0" applyNumberFormat="1" applyFont="1" applyFill="1" applyBorder="1" applyAlignment="1">
      <alignment horizontal="center" vertical="center"/>
    </xf>
    <xf numFmtId="4" fontId="15" fillId="2" borderId="91" xfId="0" applyNumberFormat="1" applyFont="1" applyFill="1" applyBorder="1" applyAlignment="1">
      <alignment horizontal="center" vertical="center"/>
    </xf>
    <xf numFmtId="4" fontId="15" fillId="2" borderId="87" xfId="0" applyNumberFormat="1" applyFont="1" applyFill="1" applyBorder="1" applyAlignment="1">
      <alignment horizontal="center" vertical="center"/>
    </xf>
    <xf numFmtId="4" fontId="15" fillId="2" borderId="88" xfId="0" applyNumberFormat="1" applyFont="1" applyFill="1" applyBorder="1" applyAlignment="1">
      <alignment horizontal="center" vertical="center"/>
    </xf>
    <xf numFmtId="2" fontId="5" fillId="0" borderId="0" xfId="0" applyNumberFormat="1" applyFont="1"/>
    <xf numFmtId="166" fontId="10" fillId="0" borderId="30" xfId="0" applyNumberFormat="1" applyFont="1" applyBorder="1" applyAlignment="1" applyProtection="1">
      <alignment horizontal="center" vertical="center"/>
      <protection locked="0"/>
    </xf>
    <xf numFmtId="167" fontId="10" fillId="2" borderId="56" xfId="0" applyNumberFormat="1" applyFont="1" applyFill="1" applyBorder="1" applyAlignment="1">
      <alignment horizontal="center" vertical="center"/>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30"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167" fontId="15" fillId="2" borderId="54" xfId="0" applyNumberFormat="1" applyFont="1" applyFill="1" applyBorder="1" applyAlignment="1">
      <alignment horizontal="center" vertical="center" wrapText="1"/>
    </xf>
    <xf numFmtId="167" fontId="10" fillId="2" borderId="56" xfId="0" applyNumberFormat="1" applyFont="1" applyFill="1" applyBorder="1" applyAlignment="1">
      <alignment horizontal="center" vertical="center" wrapText="1"/>
    </xf>
    <xf numFmtId="4" fontId="20" fillId="2" borderId="92" xfId="0" applyNumberFormat="1" applyFont="1" applyFill="1" applyBorder="1" applyAlignment="1">
      <alignment horizontal="center" vertical="center"/>
    </xf>
    <xf numFmtId="4" fontId="20" fillId="2" borderId="93" xfId="0" applyNumberFormat="1" applyFont="1" applyFill="1" applyBorder="1" applyAlignment="1">
      <alignment horizontal="right" vertical="center" wrapText="1"/>
    </xf>
    <xf numFmtId="167" fontId="10" fillId="2" borderId="78" xfId="0" applyNumberFormat="1" applyFont="1" applyFill="1" applyBorder="1" applyAlignment="1">
      <alignment horizontal="center" vertical="center" wrapText="1"/>
    </xf>
    <xf numFmtId="166" fontId="15" fillId="2" borderId="29" xfId="0" applyNumberFormat="1" applyFont="1" applyFill="1" applyBorder="1" applyAlignment="1">
      <alignment horizontal="center" vertical="center" wrapText="1"/>
    </xf>
    <xf numFmtId="167" fontId="15" fillId="2" borderId="52" xfId="0" applyNumberFormat="1" applyFont="1" applyFill="1" applyBorder="1" applyAlignment="1">
      <alignment horizontal="center" vertical="center" wrapText="1"/>
    </xf>
    <xf numFmtId="166" fontId="15" fillId="0" borderId="53" xfId="0" applyNumberFormat="1" applyFont="1" applyBorder="1" applyAlignment="1" applyProtection="1">
      <alignment horizontal="center" vertical="center" wrapText="1"/>
      <protection locked="0"/>
    </xf>
    <xf numFmtId="168" fontId="15" fillId="2" borderId="54" xfId="0" applyNumberFormat="1" applyFont="1" applyFill="1" applyBorder="1" applyAlignment="1">
      <alignment horizontal="center" vertical="center" wrapText="1"/>
    </xf>
    <xf numFmtId="167" fontId="10" fillId="2" borderId="59" xfId="0" applyNumberFormat="1" applyFont="1" applyFill="1" applyBorder="1" applyAlignment="1">
      <alignment horizontal="center" vertical="center" wrapText="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78"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46" fillId="0" borderId="0" xfId="1"/>
    <xf numFmtId="4" fontId="46" fillId="0" borderId="0" xfId="1" applyNumberFormat="1"/>
    <xf numFmtId="0" fontId="46" fillId="0" borderId="4" xfId="4" applyBorder="1"/>
    <xf numFmtId="4" fontId="46" fillId="0" borderId="4" xfId="4" applyNumberFormat="1" applyBorder="1"/>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8" xfId="4" applyFont="1" applyFill="1" applyBorder="1" applyAlignment="1">
      <alignment horizontal="center" vertical="center" wrapText="1"/>
    </xf>
    <xf numFmtId="0" fontId="18" fillId="2" borderId="49" xfId="4" applyFont="1" applyFill="1" applyBorder="1" applyAlignment="1">
      <alignment horizontal="center" vertical="center" wrapText="1"/>
    </xf>
    <xf numFmtId="4" fontId="18" fillId="2" borderId="49" xfId="4" applyNumberFormat="1" applyFont="1" applyFill="1" applyBorder="1" applyAlignment="1">
      <alignment horizontal="center" vertical="center"/>
    </xf>
    <xf numFmtId="0" fontId="6" fillId="2" borderId="50"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0" fontId="6" fillId="2" borderId="27" xfId="4" applyFont="1" applyFill="1" applyBorder="1" applyAlignment="1">
      <alignment horizontal="center" vertical="center"/>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4" fontId="6" fillId="0" borderId="26" xfId="4" applyNumberFormat="1" applyFont="1" applyBorder="1" applyAlignment="1" applyProtection="1">
      <alignment horizontal="center" vertical="center"/>
      <protection locked="0"/>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4" fontId="18" fillId="0" borderId="49" xfId="4" applyNumberFormat="1" applyFont="1" applyBorder="1" applyAlignment="1" applyProtection="1">
      <alignment horizontal="center" vertical="center"/>
      <protection locked="0"/>
    </xf>
    <xf numFmtId="166"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4" xfId="0" applyFont="1" applyBorder="1"/>
    <xf numFmtId="0" fontId="15" fillId="2" borderId="5" xfId="0" applyFont="1" applyFill="1" applyBorder="1" applyAlignment="1" applyProtection="1">
      <alignment horizontal="center" vertical="center"/>
      <protection hidden="1"/>
    </xf>
    <xf numFmtId="0" fontId="15" fillId="2" borderId="40" xfId="0" applyFont="1" applyFill="1" applyBorder="1" applyAlignment="1" applyProtection="1">
      <alignment horizontal="center" vertical="center" wrapText="1"/>
      <protection hidden="1"/>
    </xf>
    <xf numFmtId="3" fontId="15" fillId="2" borderId="94" xfId="0" applyNumberFormat="1" applyFont="1" applyFill="1" applyBorder="1" applyAlignment="1" applyProtection="1">
      <alignment horizontal="center" vertical="center" wrapText="1"/>
      <protection hidden="1"/>
    </xf>
    <xf numFmtId="3" fontId="15" fillId="2" borderId="5" xfId="0" applyNumberFormat="1" applyFont="1" applyFill="1" applyBorder="1" applyAlignment="1" applyProtection="1">
      <alignment horizontal="center" vertical="center" wrapText="1"/>
      <protection hidden="1"/>
    </xf>
    <xf numFmtId="0" fontId="20" fillId="2" borderId="13" xfId="0" applyFont="1" applyFill="1" applyBorder="1" applyAlignment="1" applyProtection="1">
      <alignment horizontal="center" vertical="center" wrapText="1"/>
      <protection hidden="1"/>
    </xf>
    <xf numFmtId="0" fontId="20" fillId="2" borderId="14" xfId="0" applyFont="1" applyFill="1" applyBorder="1" applyAlignment="1" applyProtection="1">
      <alignment horizontal="center" vertical="center" wrapText="1"/>
      <protection hidden="1"/>
    </xf>
    <xf numFmtId="0" fontId="20" fillId="2" borderId="95" xfId="0" applyFont="1" applyFill="1" applyBorder="1" applyAlignment="1" applyProtection="1">
      <alignment horizontal="center" vertical="center" wrapText="1"/>
      <protection hidden="1"/>
    </xf>
    <xf numFmtId="0" fontId="15" fillId="2" borderId="5" xfId="0" applyFont="1" applyFill="1" applyBorder="1" applyAlignment="1" applyProtection="1">
      <alignment horizontal="center" vertical="center" wrapText="1"/>
      <protection hidden="1"/>
    </xf>
    <xf numFmtId="0" fontId="20" fillId="2" borderId="43" xfId="0" applyFont="1" applyFill="1" applyBorder="1" applyAlignment="1" applyProtection="1">
      <alignment horizontal="center" vertical="center" wrapText="1"/>
      <protection hidden="1"/>
    </xf>
    <xf numFmtId="3" fontId="15" fillId="2" borderId="44" xfId="0" applyNumberFormat="1" applyFont="1" applyFill="1" applyBorder="1" applyAlignment="1" applyProtection="1">
      <alignment horizontal="center" vertical="center" wrapText="1"/>
      <protection hidden="1"/>
    </xf>
    <xf numFmtId="0" fontId="15" fillId="2" borderId="94" xfId="0" applyFont="1" applyFill="1" applyBorder="1" applyAlignment="1" applyProtection="1">
      <alignment horizontal="center" vertical="center" wrapText="1"/>
      <protection hidden="1"/>
    </xf>
    <xf numFmtId="0" fontId="15" fillId="2" borderId="45" xfId="0" applyFont="1" applyFill="1" applyBorder="1" applyAlignment="1">
      <alignment horizontal="center" vertical="center"/>
    </xf>
    <xf numFmtId="0" fontId="15" fillId="2" borderId="45" xfId="0" applyFont="1" applyFill="1" applyBorder="1" applyAlignment="1" applyProtection="1">
      <alignment horizontal="center" vertical="center"/>
      <protection hidden="1"/>
    </xf>
    <xf numFmtId="4" fontId="15" fillId="2" borderId="96" xfId="0" applyNumberFormat="1" applyFont="1" applyFill="1" applyBorder="1" applyAlignment="1" applyProtection="1">
      <alignment horizontal="center" vertical="center" wrapText="1"/>
      <protection hidden="1"/>
    </xf>
    <xf numFmtId="4" fontId="15" fillId="2" borderId="97" xfId="0" applyNumberFormat="1" applyFont="1" applyFill="1" applyBorder="1" applyAlignment="1" applyProtection="1">
      <alignment horizontal="center" vertical="center" wrapText="1"/>
      <protection hidden="1"/>
    </xf>
    <xf numFmtId="4" fontId="15" fillId="2" borderId="45" xfId="0" applyNumberFormat="1" applyFont="1" applyFill="1" applyBorder="1" applyAlignment="1" applyProtection="1">
      <alignment horizontal="center" vertical="center" wrapText="1"/>
      <protection hidden="1"/>
    </xf>
    <xf numFmtId="4" fontId="15" fillId="2" borderId="48" xfId="0" applyNumberFormat="1" applyFont="1" applyFill="1" applyBorder="1" applyAlignment="1" applyProtection="1">
      <alignment horizontal="center" vertical="center" wrapText="1"/>
      <protection hidden="1"/>
    </xf>
    <xf numFmtId="4" fontId="15" fillId="2" borderId="49" xfId="0" applyNumberFormat="1" applyFont="1" applyFill="1" applyBorder="1" applyAlignment="1" applyProtection="1">
      <alignment horizontal="center" vertical="center" wrapText="1"/>
      <protection hidden="1"/>
    </xf>
    <xf numFmtId="4" fontId="15" fillId="2" borderId="98" xfId="0" applyNumberFormat="1" applyFont="1" applyFill="1" applyBorder="1" applyAlignment="1" applyProtection="1">
      <alignment horizontal="center" vertical="center" wrapText="1"/>
      <protection hidden="1"/>
    </xf>
    <xf numFmtId="4" fontId="15" fillId="2" borderId="50" xfId="0" applyNumberFormat="1" applyFont="1" applyFill="1" applyBorder="1" applyAlignment="1" applyProtection="1">
      <alignment horizontal="center" vertical="center" wrapText="1"/>
      <protection hidden="1"/>
    </xf>
    <xf numFmtId="4" fontId="15" fillId="2" borderId="99" xfId="0" applyNumberFormat="1" applyFont="1" applyFill="1" applyBorder="1" applyAlignment="1" applyProtection="1">
      <alignment horizontal="center" vertical="center" wrapText="1"/>
      <protection hidden="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4" fontId="15" fillId="2" borderId="100" xfId="0" applyNumberFormat="1" applyFont="1" applyFill="1" applyBorder="1" applyAlignment="1" applyProtection="1">
      <alignment horizontal="center" vertical="center" wrapText="1"/>
      <protection hidden="1"/>
    </xf>
    <xf numFmtId="4" fontId="15" fillId="2" borderId="101" xfId="0" applyNumberFormat="1" applyFont="1" applyFill="1" applyBorder="1" applyAlignment="1" applyProtection="1">
      <alignment horizontal="center" vertical="center" wrapText="1"/>
      <protection hidden="1"/>
    </xf>
    <xf numFmtId="4" fontId="15" fillId="2" borderId="9" xfId="0" applyNumberFormat="1" applyFont="1" applyFill="1" applyBorder="1" applyAlignment="1" applyProtection="1">
      <alignment horizontal="center" vertical="center" wrapText="1"/>
      <protection hidden="1"/>
    </xf>
    <xf numFmtId="4" fontId="15" fillId="2" borderId="37" xfId="0" applyNumberFormat="1" applyFont="1" applyFill="1" applyBorder="1" applyAlignment="1" applyProtection="1">
      <alignment horizontal="center" vertical="center" wrapText="1"/>
      <protection hidden="1"/>
    </xf>
    <xf numFmtId="4" fontId="15" fillId="2" borderId="38" xfId="0" applyNumberFormat="1" applyFont="1" applyFill="1" applyBorder="1" applyAlignment="1" applyProtection="1">
      <alignment horizontal="center" vertical="center" wrapText="1"/>
      <protection hidden="1"/>
    </xf>
    <xf numFmtId="4" fontId="15" fillId="2" borderId="51" xfId="0" applyNumberFormat="1" applyFont="1" applyFill="1" applyBorder="1" applyAlignment="1" applyProtection="1">
      <alignment horizontal="center" vertical="center" wrapText="1"/>
      <protection hidden="1"/>
    </xf>
    <xf numFmtId="4" fontId="15" fillId="2" borderId="31" xfId="0" applyNumberFormat="1" applyFont="1" applyFill="1" applyBorder="1" applyAlignment="1" applyProtection="1">
      <alignment horizontal="center" vertical="center" wrapText="1"/>
      <protection hidden="1"/>
    </xf>
    <xf numFmtId="4" fontId="15" fillId="2" borderId="102" xfId="0" applyNumberFormat="1" applyFont="1" applyFill="1" applyBorder="1" applyAlignment="1" applyProtection="1">
      <alignment horizontal="center" vertical="center" wrapText="1"/>
      <protection hidden="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4" fontId="10" fillId="2" borderId="103" xfId="0" applyNumberFormat="1" applyFont="1" applyFill="1" applyBorder="1" applyAlignment="1" applyProtection="1">
      <alignment horizontal="center" vertical="center" wrapText="1"/>
      <protection hidden="1"/>
    </xf>
    <xf numFmtId="4" fontId="10" fillId="2" borderId="37" xfId="0" applyNumberFormat="1" applyFont="1" applyFill="1" applyBorder="1" applyAlignment="1" applyProtection="1">
      <alignment horizontal="center" vertical="center" wrapText="1"/>
      <protection hidden="1"/>
    </xf>
    <xf numFmtId="4" fontId="10" fillId="2" borderId="38" xfId="0" applyNumberFormat="1" applyFont="1" applyFill="1" applyBorder="1" applyAlignment="1" applyProtection="1">
      <alignment horizontal="center" vertical="center" wrapText="1"/>
      <protection hidden="1"/>
    </xf>
    <xf numFmtId="4" fontId="10" fillId="2" borderId="22" xfId="0" applyNumberFormat="1" applyFont="1" applyFill="1" applyBorder="1" applyAlignment="1" applyProtection="1">
      <alignment horizontal="center" vertical="center" wrapText="1"/>
      <protection hidden="1"/>
    </xf>
    <xf numFmtId="4" fontId="10" fillId="2" borderId="23" xfId="0" applyNumberFormat="1" applyFont="1" applyFill="1" applyBorder="1" applyAlignment="1" applyProtection="1">
      <alignment horizontal="center" vertical="center" wrapText="1"/>
      <protection hidden="1"/>
    </xf>
    <xf numFmtId="4" fontId="10" fillId="2" borderId="104" xfId="0" applyNumberFormat="1" applyFont="1" applyFill="1" applyBorder="1" applyAlignment="1" applyProtection="1">
      <alignment horizontal="center" vertical="center" wrapText="1"/>
      <protection hidden="1"/>
    </xf>
    <xf numFmtId="4" fontId="10" fillId="2" borderId="105" xfId="0" applyNumberFormat="1" applyFont="1" applyFill="1" applyBorder="1" applyAlignment="1" applyProtection="1">
      <alignment horizontal="center" vertical="center" wrapText="1"/>
      <protection hidden="1"/>
    </xf>
    <xf numFmtId="4" fontId="10" fillId="2" borderId="6" xfId="0" applyNumberFormat="1" applyFont="1" applyFill="1" applyBorder="1" applyAlignment="1" applyProtection="1">
      <alignment horizontal="center" vertical="center" wrapText="1"/>
      <protection hidden="1"/>
    </xf>
    <xf numFmtId="4" fontId="10" fillId="2" borderId="9" xfId="0" applyNumberFormat="1" applyFont="1" applyFill="1" applyBorder="1" applyAlignment="1" applyProtection="1">
      <alignment horizontal="center" vertical="center" wrapText="1"/>
      <protection hidden="1"/>
    </xf>
    <xf numFmtId="0" fontId="15" fillId="2" borderId="23" xfId="0" applyFont="1" applyFill="1" applyBorder="1" applyAlignment="1">
      <alignment horizontal="center" vertical="center" wrapText="1"/>
    </xf>
    <xf numFmtId="4" fontId="15" fillId="2" borderId="22" xfId="0" applyNumberFormat="1" applyFont="1" applyFill="1" applyBorder="1" applyAlignment="1" applyProtection="1">
      <alignment horizontal="center" vertical="center" wrapText="1"/>
      <protection hidden="1"/>
    </xf>
    <xf numFmtId="4" fontId="15" fillId="2" borderId="23" xfId="0" applyNumberFormat="1" applyFont="1" applyFill="1" applyBorder="1" applyAlignment="1" applyProtection="1">
      <alignment horizontal="center" vertical="center" wrapText="1"/>
      <protection hidden="1"/>
    </xf>
    <xf numFmtId="4" fontId="15" fillId="2" borderId="104" xfId="0" applyNumberFormat="1" applyFont="1" applyFill="1" applyBorder="1" applyAlignment="1" applyProtection="1">
      <alignment horizontal="center" vertical="center" wrapText="1"/>
      <protection hidden="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0" fontId="20" fillId="2" borderId="9" xfId="0" applyFont="1" applyFill="1" applyBorder="1" applyAlignment="1" applyProtection="1">
      <alignment horizontal="center" vertical="center"/>
      <protection hidden="1"/>
    </xf>
    <xf numFmtId="4" fontId="15" fillId="2" borderId="9" xfId="0" applyNumberFormat="1" applyFont="1" applyFill="1" applyBorder="1" applyAlignment="1" applyProtection="1">
      <alignment horizontal="center" vertical="center"/>
      <protection hidden="1"/>
    </xf>
    <xf numFmtId="4" fontId="10" fillId="2" borderId="37" xfId="0" applyNumberFormat="1" applyFont="1" applyFill="1" applyBorder="1" applyAlignment="1" applyProtection="1">
      <alignment horizontal="center" vertical="center"/>
      <protection hidden="1"/>
    </xf>
    <xf numFmtId="4" fontId="10" fillId="2" borderId="38" xfId="0" applyNumberFormat="1" applyFont="1" applyFill="1" applyBorder="1" applyAlignment="1" applyProtection="1">
      <alignment horizontal="center" vertical="center"/>
      <protection hidden="1"/>
    </xf>
    <xf numFmtId="4" fontId="10" fillId="2" borderId="22" xfId="0" applyNumberFormat="1" applyFont="1" applyFill="1" applyBorder="1" applyAlignment="1" applyProtection="1">
      <alignment horizontal="center" vertical="center"/>
      <protection hidden="1"/>
    </xf>
    <xf numFmtId="4" fontId="10" fillId="2" borderId="23" xfId="0" applyNumberFormat="1" applyFont="1" applyFill="1" applyBorder="1" applyAlignment="1" applyProtection="1">
      <alignment horizontal="center" vertical="center"/>
      <protection hidden="1"/>
    </xf>
    <xf numFmtId="4" fontId="10" fillId="2" borderId="104" xfId="0" applyNumberFormat="1" applyFont="1" applyFill="1" applyBorder="1" applyAlignment="1" applyProtection="1">
      <alignment horizontal="center" vertical="center"/>
      <protection hidden="1"/>
    </xf>
    <xf numFmtId="4" fontId="10" fillId="2" borderId="105" xfId="0" applyNumberFormat="1" applyFont="1" applyFill="1" applyBorder="1" applyAlignment="1" applyProtection="1">
      <alignment horizontal="center" vertical="center"/>
      <protection hidden="1"/>
    </xf>
    <xf numFmtId="4" fontId="10" fillId="2" borderId="9" xfId="0" applyNumberFormat="1" applyFont="1" applyFill="1" applyBorder="1" applyAlignment="1" applyProtection="1">
      <alignment horizontal="center" vertical="center"/>
      <protection hidden="1"/>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81" xfId="0" applyNumberFormat="1" applyFont="1" applyFill="1" applyBorder="1" applyAlignment="1" applyProtection="1">
      <alignment horizontal="center" vertical="center" wrapText="1"/>
      <protection hidden="1"/>
    </xf>
    <xf numFmtId="4" fontId="15" fillId="2" borderId="106" xfId="0" applyNumberFormat="1" applyFont="1" applyFill="1" applyBorder="1" applyAlignment="1" applyProtection="1">
      <alignment horizontal="center" vertical="center"/>
      <protection hidden="1"/>
    </xf>
    <xf numFmtId="4" fontId="15" fillId="2" borderId="6" xfId="0" applyNumberFormat="1" applyFont="1" applyFill="1" applyBorder="1" applyAlignment="1" applyProtection="1">
      <alignment horizontal="center" vertical="center"/>
      <protection hidden="1"/>
    </xf>
    <xf numFmtId="4" fontId="15" fillId="2" borderId="22" xfId="0" applyNumberFormat="1" applyFont="1" applyFill="1" applyBorder="1" applyAlignment="1" applyProtection="1">
      <alignment horizontal="center" vertical="center"/>
      <protection hidden="1"/>
    </xf>
    <xf numFmtId="4" fontId="15" fillId="2" borderId="23" xfId="0" applyNumberFormat="1" applyFont="1" applyFill="1" applyBorder="1" applyAlignment="1" applyProtection="1">
      <alignment horizontal="center" vertical="center"/>
      <protection hidden="1"/>
    </xf>
    <xf numFmtId="4" fontId="15" fillId="2" borderId="55" xfId="0" applyNumberFormat="1" applyFont="1" applyFill="1" applyBorder="1" applyAlignment="1" applyProtection="1">
      <alignment horizontal="center" vertical="center"/>
      <protection hidden="1"/>
    </xf>
    <xf numFmtId="4" fontId="15" fillId="2" borderId="104" xfId="0" applyNumberFormat="1" applyFont="1" applyFill="1" applyBorder="1" applyAlignment="1" applyProtection="1">
      <alignment horizontal="center" vertical="center"/>
      <protection hidden="1"/>
    </xf>
    <xf numFmtId="0" fontId="20" fillId="2" borderId="7" xfId="0" applyFont="1" applyFill="1" applyBorder="1" applyAlignment="1" applyProtection="1">
      <alignment horizontal="center" vertical="center"/>
      <protection hidden="1"/>
    </xf>
    <xf numFmtId="0" fontId="20" fillId="2" borderId="7" xfId="0" applyFont="1" applyFill="1" applyBorder="1" applyAlignment="1">
      <alignment horizontal="right" wrapText="1"/>
    </xf>
    <xf numFmtId="4" fontId="15" fillId="2" borderId="82" xfId="0" applyNumberFormat="1" applyFont="1" applyFill="1" applyBorder="1" applyAlignment="1" applyProtection="1">
      <alignment horizontal="center" vertical="center" wrapText="1"/>
      <protection hidden="1"/>
    </xf>
    <xf numFmtId="4" fontId="15" fillId="2" borderId="7" xfId="0" applyNumberFormat="1" applyFont="1" applyFill="1" applyBorder="1" applyAlignment="1" applyProtection="1">
      <alignment horizontal="center" vertical="center"/>
      <protection hidden="1"/>
    </xf>
    <xf numFmtId="4" fontId="10" fillId="2" borderId="25" xfId="0" applyNumberFormat="1" applyFont="1" applyFill="1" applyBorder="1" applyAlignment="1" applyProtection="1">
      <alignment horizontal="center" vertical="center"/>
      <protection hidden="1"/>
    </xf>
    <xf numFmtId="4" fontId="10" fillId="2" borderId="26" xfId="0" applyNumberFormat="1" applyFont="1" applyFill="1" applyBorder="1" applyAlignment="1" applyProtection="1">
      <alignment horizontal="center" vertical="center"/>
      <protection hidden="1"/>
    </xf>
    <xf numFmtId="4" fontId="10" fillId="2" borderId="107" xfId="0" applyNumberFormat="1" applyFont="1" applyFill="1" applyBorder="1" applyAlignment="1" applyProtection="1">
      <alignment horizontal="center" vertical="center"/>
      <protection hidden="1"/>
    </xf>
    <xf numFmtId="4" fontId="10" fillId="2" borderId="7" xfId="0" applyNumberFormat="1" applyFont="1" applyFill="1" applyBorder="1" applyAlignment="1" applyProtection="1">
      <alignment horizontal="center" vertical="center"/>
      <protection hidden="1"/>
    </xf>
    <xf numFmtId="0" fontId="20" fillId="2" borderId="6" xfId="0" applyFont="1" applyFill="1" applyBorder="1" applyAlignment="1">
      <alignment horizontal="right" wrapText="1"/>
    </xf>
    <xf numFmtId="4" fontId="10" fillId="2" borderId="108" xfId="0" applyNumberFormat="1" applyFont="1" applyFill="1" applyBorder="1" applyAlignment="1" applyProtection="1">
      <alignment horizontal="center" vertical="center"/>
      <protection hidden="1"/>
    </xf>
    <xf numFmtId="4" fontId="10" fillId="2" borderId="6" xfId="0" applyNumberFormat="1" applyFont="1" applyFill="1" applyBorder="1" applyAlignment="1" applyProtection="1">
      <alignment horizontal="center" vertical="center"/>
      <protection hidden="1"/>
    </xf>
    <xf numFmtId="0" fontId="15" fillId="2" borderId="6" xfId="0" applyFont="1" applyFill="1" applyBorder="1" applyAlignment="1" applyProtection="1">
      <alignment horizontal="center" vertical="center"/>
      <protection hidden="1"/>
    </xf>
    <xf numFmtId="0" fontId="15" fillId="2" borderId="6" xfId="0" applyFont="1" applyFill="1" applyBorder="1" applyAlignment="1">
      <alignment horizontal="center" wrapText="1"/>
    </xf>
    <xf numFmtId="0" fontId="20" fillId="2" borderId="6" xfId="0" applyFont="1" applyFill="1" applyBorder="1" applyAlignment="1" applyProtection="1">
      <alignment horizontal="center" vertical="center"/>
      <protection hidden="1"/>
    </xf>
    <xf numFmtId="0" fontId="20" fillId="0" borderId="6" xfId="0" applyFont="1" applyFill="1" applyBorder="1" applyAlignment="1" applyProtection="1">
      <alignment horizontal="right" wrapText="1"/>
      <protection locked="0"/>
    </xf>
    <xf numFmtId="4" fontId="10" fillId="2" borderId="109" xfId="0" applyNumberFormat="1" applyFont="1" applyFill="1" applyBorder="1" applyAlignment="1" applyProtection="1">
      <alignment horizontal="center" vertical="center"/>
      <protection hidden="1"/>
    </xf>
    <xf numFmtId="0" fontId="20" fillId="2" borderId="57" xfId="0" applyFont="1" applyFill="1" applyBorder="1" applyAlignment="1" applyProtection="1">
      <alignment horizontal="center" vertical="center"/>
      <protection hidden="1"/>
    </xf>
    <xf numFmtId="0" fontId="20" fillId="0" borderId="57" xfId="0" applyFont="1" applyFill="1" applyBorder="1" applyAlignment="1" applyProtection="1">
      <alignment horizontal="right" wrapText="1"/>
      <protection locked="0"/>
    </xf>
    <xf numFmtId="4" fontId="15" fillId="2" borderId="110" xfId="0" applyNumberFormat="1" applyFont="1" applyFill="1" applyBorder="1" applyAlignment="1" applyProtection="1">
      <alignment horizontal="center" vertical="center" wrapText="1"/>
      <protection hidden="1"/>
    </xf>
    <xf numFmtId="4" fontId="10" fillId="2" borderId="111" xfId="0" applyNumberFormat="1" applyFont="1" applyFill="1" applyBorder="1" applyAlignment="1" applyProtection="1">
      <alignment horizontal="center" vertical="center"/>
      <protection hidden="1"/>
    </xf>
    <xf numFmtId="4" fontId="15" fillId="2" borderId="57" xfId="0" applyNumberFormat="1" applyFont="1" applyFill="1" applyBorder="1" applyAlignment="1" applyProtection="1">
      <alignment horizontal="center" vertical="center"/>
      <protection hidden="1"/>
    </xf>
    <xf numFmtId="4" fontId="10" fillId="2" borderId="112" xfId="0" applyNumberFormat="1" applyFont="1" applyFill="1" applyBorder="1" applyAlignment="1" applyProtection="1">
      <alignment horizontal="center" vertical="center"/>
      <protection hidden="1"/>
    </xf>
    <xf numFmtId="4" fontId="10" fillId="2" borderId="113" xfId="0" applyNumberFormat="1" applyFont="1" applyFill="1" applyBorder="1" applyAlignment="1" applyProtection="1">
      <alignment horizontal="center" vertical="center"/>
      <protection hidden="1"/>
    </xf>
    <xf numFmtId="4" fontId="10" fillId="2" borderId="114" xfId="0" applyNumberFormat="1" applyFont="1" applyFill="1" applyBorder="1" applyAlignment="1" applyProtection="1">
      <alignment horizontal="center" vertical="center"/>
      <protection hidden="1"/>
    </xf>
    <xf numFmtId="4" fontId="10" fillId="2" borderId="115" xfId="0" applyNumberFormat="1" applyFont="1" applyFill="1" applyBorder="1" applyAlignment="1" applyProtection="1">
      <alignment horizontal="center" vertical="center"/>
      <protection hidden="1"/>
    </xf>
    <xf numFmtId="4" fontId="10" fillId="2" borderId="57" xfId="0" applyNumberFormat="1" applyFont="1" applyFill="1" applyBorder="1" applyAlignment="1" applyProtection="1">
      <alignment horizontal="center" vertical="center"/>
      <protection hidden="1"/>
    </xf>
    <xf numFmtId="4" fontId="15" fillId="2" borderId="116" xfId="0" applyNumberFormat="1" applyFont="1" applyFill="1" applyBorder="1" applyAlignment="1" applyProtection="1">
      <alignment horizontal="center" vertical="center" wrapText="1"/>
      <protection hidden="1"/>
    </xf>
    <xf numFmtId="4" fontId="15" fillId="2" borderId="117" xfId="0" applyNumberFormat="1" applyFont="1" applyFill="1" applyBorder="1" applyAlignment="1" applyProtection="1">
      <alignment horizontal="center" vertical="center" wrapText="1"/>
      <protection hidden="1"/>
    </xf>
    <xf numFmtId="4" fontId="10" fillId="0" borderId="101" xfId="0" applyNumberFormat="1" applyFont="1" applyBorder="1" applyAlignment="1" applyProtection="1">
      <alignment horizontal="center" vertical="center" wrapText="1"/>
      <protection locked="0"/>
    </xf>
    <xf numFmtId="4" fontId="10" fillId="0" borderId="51" xfId="0" applyNumberFormat="1" applyFont="1" applyBorder="1" applyAlignment="1" applyProtection="1">
      <alignment horizontal="center" vertical="center" wrapText="1"/>
      <protection locked="0"/>
    </xf>
    <xf numFmtId="4" fontId="15" fillId="0" borderId="102"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0" fillId="0" borderId="101" xfId="0" applyNumberFormat="1" applyFont="1" applyBorder="1" applyAlignment="1" applyProtection="1">
      <alignment horizontal="center" vertical="center"/>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1"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lignment horizontal="right" wrapText="1"/>
    </xf>
    <xf numFmtId="4" fontId="15" fillId="2" borderId="24" xfId="0" applyNumberFormat="1" applyFont="1" applyFill="1" applyBorder="1" applyAlignment="1" applyProtection="1">
      <alignment horizontal="center" vertical="center"/>
      <protection hidden="1"/>
    </xf>
    <xf numFmtId="4" fontId="15" fillId="2" borderId="118" xfId="0" applyNumberFormat="1" applyFont="1" applyFill="1" applyBorder="1" applyAlignment="1" applyProtection="1">
      <alignment horizontal="center" vertical="center"/>
      <protection hidden="1"/>
    </xf>
    <xf numFmtId="4" fontId="10" fillId="0" borderId="77" xfId="0" applyNumberFormat="1" applyFont="1" applyBorder="1" applyAlignment="1" applyProtection="1">
      <alignment horizontal="center" vertical="center"/>
      <protection locked="0"/>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58"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106"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5"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0" xfId="0" applyNumberFormat="1" applyFont="1" applyBorder="1" applyAlignment="1" applyProtection="1">
      <alignment horizontal="center" vertical="center"/>
      <protection locked="0"/>
    </xf>
    <xf numFmtId="4" fontId="10" fillId="0" borderId="112" xfId="0" applyNumberFormat="1" applyFont="1" applyBorder="1" applyAlignment="1" applyProtection="1">
      <alignment horizontal="center" vertical="center"/>
      <protection locked="0"/>
    </xf>
    <xf numFmtId="4" fontId="10" fillId="0" borderId="113" xfId="0" applyNumberFormat="1" applyFont="1" applyBorder="1" applyAlignment="1" applyProtection="1">
      <alignment horizontal="center" vertical="center"/>
      <protection locked="0"/>
    </xf>
    <xf numFmtId="4" fontId="10" fillId="0" borderId="119" xfId="0" applyNumberFormat="1" applyFont="1" applyBorder="1" applyAlignment="1" applyProtection="1">
      <alignment horizontal="center" vertical="center"/>
      <protection locked="0"/>
    </xf>
    <xf numFmtId="4" fontId="10" fillId="0" borderId="120" xfId="0" applyNumberFormat="1" applyFont="1" applyBorder="1" applyAlignment="1" applyProtection="1">
      <alignment horizontal="center" vertical="center"/>
      <protection locked="0"/>
    </xf>
    <xf numFmtId="4" fontId="10" fillId="0" borderId="0" xfId="0" applyNumberFormat="1" applyFont="1" applyAlignment="1" applyProtection="1">
      <alignment horizontal="center" vertical="center"/>
      <protection locked="0"/>
    </xf>
    <xf numFmtId="4" fontId="15" fillId="0" borderId="121" xfId="0" applyNumberFormat="1" applyFont="1" applyBorder="1" applyAlignment="1" applyProtection="1">
      <alignment horizontal="center" vertical="center" wrapText="1"/>
      <protection locked="0"/>
    </xf>
    <xf numFmtId="4" fontId="15" fillId="0" borderId="57" xfId="0" applyNumberFormat="1" applyFont="1" applyBorder="1" applyAlignment="1" applyProtection="1">
      <alignment horizontal="center" vertical="center" wrapText="1"/>
      <protection locked="0"/>
    </xf>
    <xf numFmtId="4" fontId="11" fillId="0" borderId="0" xfId="0" applyNumberFormat="1" applyFont="1"/>
    <xf numFmtId="4" fontId="10" fillId="0" borderId="100" xfId="0" applyNumberFormat="1" applyFont="1" applyBorder="1" applyAlignment="1" applyProtection="1">
      <alignment horizontal="center" vertical="center" wrapText="1"/>
      <protection locked="0"/>
    </xf>
    <xf numFmtId="4" fontId="10" fillId="2" borderId="101" xfId="0" applyNumberFormat="1" applyFont="1" applyFill="1" applyBorder="1" applyAlignment="1" applyProtection="1">
      <alignment horizontal="center" vertical="center" wrapText="1"/>
      <protection hidden="1"/>
    </xf>
    <xf numFmtId="4" fontId="10" fillId="2" borderId="51" xfId="0" applyNumberFormat="1" applyFont="1" applyFill="1" applyBorder="1" applyAlignment="1" applyProtection="1">
      <alignment horizontal="center" vertical="center" wrapText="1"/>
      <protection hidden="1"/>
    </xf>
    <xf numFmtId="4" fontId="10" fillId="2" borderId="31" xfId="0" applyNumberFormat="1" applyFont="1" applyFill="1" applyBorder="1" applyAlignment="1" applyProtection="1">
      <alignment horizontal="center" vertical="center" wrapText="1"/>
      <protection hidden="1"/>
    </xf>
    <xf numFmtId="4" fontId="10" fillId="2" borderId="102" xfId="0" applyNumberFormat="1" applyFont="1" applyFill="1" applyBorder="1" applyAlignment="1" applyProtection="1">
      <alignment horizontal="center" vertical="center" wrapText="1"/>
      <protection hidden="1"/>
    </xf>
    <xf numFmtId="4" fontId="10" fillId="0" borderId="82" xfId="0" applyNumberFormat="1" applyFont="1" applyBorder="1" applyAlignment="1" applyProtection="1">
      <alignment horizontal="center" vertical="center" wrapText="1"/>
      <protection locked="0"/>
    </xf>
    <xf numFmtId="4" fontId="10" fillId="0" borderId="81" xfId="0" applyNumberFormat="1" applyFont="1" applyBorder="1" applyAlignment="1" applyProtection="1">
      <alignment horizontal="center" vertical="center" wrapText="1"/>
      <protection locked="0"/>
    </xf>
    <xf numFmtId="4" fontId="15" fillId="2" borderId="30" xfId="0" applyNumberFormat="1" applyFont="1" applyFill="1" applyBorder="1" applyAlignment="1" applyProtection="1">
      <alignment horizontal="center" vertical="center" wrapText="1"/>
      <protection hidden="1"/>
    </xf>
    <xf numFmtId="4" fontId="15" fillId="2" borderId="55" xfId="0" applyNumberFormat="1" applyFont="1" applyFill="1" applyBorder="1" applyAlignment="1" applyProtection="1">
      <alignment horizontal="center" vertical="center" wrapText="1"/>
      <protection hidden="1"/>
    </xf>
    <xf numFmtId="4" fontId="15" fillId="2" borderId="24" xfId="0" applyNumberFormat="1" applyFont="1" applyFill="1" applyBorder="1" applyAlignment="1" applyProtection="1">
      <alignment horizontal="center" vertical="center" wrapText="1"/>
      <protection hidden="1"/>
    </xf>
    <xf numFmtId="4" fontId="15" fillId="2" borderId="6" xfId="0" applyNumberFormat="1" applyFont="1" applyFill="1" applyBorder="1" applyAlignment="1" applyProtection="1">
      <alignment horizontal="center" vertical="center" wrapText="1"/>
      <protection hidden="1"/>
    </xf>
    <xf numFmtId="0" fontId="20" fillId="2" borderId="10" xfId="0" applyFont="1" applyFill="1" applyBorder="1" applyAlignment="1" applyProtection="1">
      <alignment horizontal="center" vertical="center"/>
      <protection hidden="1"/>
    </xf>
    <xf numFmtId="4" fontId="10" fillId="2" borderId="0" xfId="0" applyNumberFormat="1" applyFont="1" applyFill="1" applyBorder="1" applyAlignment="1" applyProtection="1">
      <alignment horizontal="center" vertical="center" wrapText="1"/>
      <protection hidden="1"/>
    </xf>
    <xf numFmtId="4" fontId="10" fillId="2" borderId="92" xfId="0" applyNumberFormat="1" applyFont="1" applyFill="1" applyBorder="1" applyAlignment="1" applyProtection="1">
      <alignment horizontal="center" vertical="center" wrapText="1"/>
      <protection hidden="1"/>
    </xf>
    <xf numFmtId="4" fontId="10" fillId="2" borderId="112" xfId="0" applyNumberFormat="1" applyFont="1" applyFill="1" applyBorder="1" applyAlignment="1" applyProtection="1">
      <alignment horizontal="center" vertical="center" wrapText="1"/>
      <protection hidden="1"/>
    </xf>
    <xf numFmtId="4" fontId="10" fillId="2" borderId="113" xfId="0" applyNumberFormat="1" applyFont="1" applyFill="1" applyBorder="1" applyAlignment="1" applyProtection="1">
      <alignment horizontal="center" vertical="center" wrapText="1"/>
      <protection hidden="1"/>
    </xf>
    <xf numFmtId="4" fontId="10" fillId="2" borderId="119" xfId="0" applyNumberFormat="1" applyFont="1" applyFill="1" applyBorder="1" applyAlignment="1" applyProtection="1">
      <alignment horizontal="center" vertical="center" wrapText="1"/>
      <protection hidden="1"/>
    </xf>
    <xf numFmtId="4" fontId="10" fillId="2" borderId="57" xfId="0" applyNumberFormat="1" applyFont="1" applyFill="1" applyBorder="1" applyAlignment="1" applyProtection="1">
      <alignment horizontal="center" vertical="center" wrapText="1"/>
      <protection hidden="1"/>
    </xf>
    <xf numFmtId="4" fontId="10" fillId="2" borderId="120" xfId="0" applyNumberFormat="1" applyFont="1" applyFill="1" applyBorder="1" applyAlignment="1" applyProtection="1">
      <alignment horizontal="center" vertical="center" wrapText="1"/>
      <protection hidden="1"/>
    </xf>
    <xf numFmtId="4" fontId="10" fillId="2" borderId="0" xfId="0" applyNumberFormat="1" applyFont="1" applyFill="1" applyAlignment="1" applyProtection="1">
      <alignment horizontal="center" vertical="center" wrapText="1"/>
      <protection hidden="1"/>
    </xf>
    <xf numFmtId="4" fontId="10" fillId="2" borderId="121" xfId="0" applyNumberFormat="1" applyFont="1" applyFill="1" applyBorder="1" applyAlignment="1" applyProtection="1">
      <alignment horizontal="center" vertical="center" wrapText="1"/>
      <protection hidden="1"/>
    </xf>
    <xf numFmtId="0" fontId="15" fillId="2" borderId="84"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0" fillId="2" borderId="14" xfId="0" applyFont="1" applyFill="1" applyBorder="1" applyAlignment="1" applyProtection="1">
      <alignment horizontal="center" vertical="center" wrapText="1"/>
      <protection hidden="1"/>
    </xf>
    <xf numFmtId="0" fontId="10" fillId="2" borderId="95" xfId="0" applyFont="1" applyFill="1" applyBorder="1" applyAlignment="1" applyProtection="1">
      <alignment horizontal="center" vertical="center" wrapText="1"/>
      <protection hidden="1"/>
    </xf>
    <xf numFmtId="0" fontId="10" fillId="2" borderId="15" xfId="0" applyFont="1" applyFill="1" applyBorder="1" applyAlignment="1" applyProtection="1">
      <alignment horizontal="center" vertical="center" wrapText="1"/>
      <protection hidden="1"/>
    </xf>
    <xf numFmtId="0" fontId="10" fillId="2" borderId="29" xfId="0" applyFont="1" applyFill="1" applyBorder="1" applyAlignment="1" applyProtection="1">
      <alignment horizontal="center" vertical="center"/>
      <protection hidden="1"/>
    </xf>
    <xf numFmtId="0" fontId="10" fillId="2" borderId="9" xfId="0" applyFont="1" applyFill="1" applyBorder="1" applyAlignment="1" applyProtection="1">
      <alignment horizontal="left" vertical="center" wrapText="1"/>
      <protection hidden="1"/>
    </xf>
    <xf numFmtId="2" fontId="15" fillId="2" borderId="100" xfId="0" applyNumberFormat="1" applyFont="1" applyFill="1" applyBorder="1" applyAlignment="1">
      <alignment horizontal="center" vertical="center" wrapText="1"/>
    </xf>
    <xf numFmtId="2" fontId="10" fillId="0" borderId="101" xfId="0" applyNumberFormat="1" applyFont="1" applyBorder="1" applyAlignment="1" applyProtection="1">
      <alignment horizontal="center" vertical="center"/>
      <protection locked="0"/>
    </xf>
    <xf numFmtId="2" fontId="15" fillId="2" borderId="9" xfId="0" applyNumberFormat="1" applyFont="1" applyFill="1" applyBorder="1" applyAlignment="1">
      <alignment horizontal="center" vertical="center"/>
    </xf>
    <xf numFmtId="2" fontId="10" fillId="0" borderId="37" xfId="0" applyNumberFormat="1" applyFont="1" applyBorder="1" applyAlignment="1" applyProtection="1">
      <alignment horizontal="center" vertical="center"/>
      <protection locked="0"/>
    </xf>
    <xf numFmtId="2" fontId="10" fillId="0" borderId="38" xfId="0" applyNumberFormat="1" applyFont="1" applyBorder="1" applyAlignment="1" applyProtection="1">
      <alignment horizontal="center" vertical="center"/>
      <protection locked="0"/>
    </xf>
    <xf numFmtId="2" fontId="10" fillId="0" borderId="51" xfId="0" applyNumberFormat="1" applyFont="1" applyBorder="1" applyAlignment="1" applyProtection="1">
      <alignment horizontal="center" vertical="center"/>
      <protection locked="0"/>
    </xf>
    <xf numFmtId="2" fontId="10" fillId="0" borderId="31" xfId="0" applyNumberFormat="1" applyFont="1" applyBorder="1" applyAlignment="1" applyProtection="1">
      <alignment horizontal="center" vertical="center"/>
      <protection locked="0"/>
    </xf>
    <xf numFmtId="2" fontId="10" fillId="0" borderId="29" xfId="0" applyNumberFormat="1" applyFont="1" applyBorder="1" applyAlignment="1" applyProtection="1">
      <alignment horizontal="center" vertical="center"/>
      <protection locked="0"/>
    </xf>
    <xf numFmtId="2" fontId="10" fillId="0" borderId="102"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hidden="1"/>
    </xf>
    <xf numFmtId="0" fontId="10" fillId="2" borderId="6" xfId="0" applyFont="1" applyFill="1" applyBorder="1" applyAlignment="1" applyProtection="1">
      <alignment horizontal="left" vertical="center" wrapText="1"/>
      <protection hidden="1"/>
    </xf>
    <xf numFmtId="2" fontId="15" fillId="2" borderId="81" xfId="0" applyNumberFormat="1" applyFont="1" applyFill="1" applyBorder="1" applyAlignment="1">
      <alignment horizontal="center" vertical="center" wrapText="1"/>
    </xf>
    <xf numFmtId="2" fontId="10" fillId="0" borderId="106" xfId="0" applyNumberFormat="1" applyFont="1" applyBorder="1" applyAlignment="1" applyProtection="1">
      <alignment horizontal="center" vertical="center"/>
      <protection locked="0"/>
    </xf>
    <xf numFmtId="2" fontId="15" fillId="2" borderId="6"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5"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2" fontId="10" fillId="0" borderId="30" xfId="0" applyNumberFormat="1" applyFont="1" applyBorder="1" applyAlignment="1" applyProtection="1">
      <alignment horizontal="center" vertical="center"/>
      <protection locked="0"/>
    </xf>
    <xf numFmtId="2" fontId="10" fillId="0" borderId="118"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hidden="1"/>
    </xf>
    <xf numFmtId="0" fontId="10" fillId="2" borderId="7" xfId="0" applyFont="1" applyFill="1" applyBorder="1" applyAlignment="1" applyProtection="1">
      <alignment horizontal="left" vertical="center" wrapText="1"/>
      <protection hidden="1"/>
    </xf>
    <xf numFmtId="2" fontId="15" fillId="2" borderId="82" xfId="0" applyNumberFormat="1" applyFont="1" applyFill="1" applyBorder="1" applyAlignment="1">
      <alignment horizontal="center" vertical="center" wrapText="1"/>
    </xf>
    <xf numFmtId="2" fontId="10" fillId="0" borderId="77" xfId="0" applyNumberFormat="1" applyFont="1" applyBorder="1" applyAlignment="1" applyProtection="1">
      <alignment horizontal="center" vertical="center"/>
      <protection locked="0"/>
    </xf>
    <xf numFmtId="2" fontId="15" fillId="2" borderId="7" xfId="0" applyNumberFormat="1" applyFont="1" applyFill="1" applyBorder="1" applyAlignment="1">
      <alignment horizontal="center" vertical="center"/>
    </xf>
    <xf numFmtId="2" fontId="10" fillId="0" borderId="25" xfId="0" applyNumberFormat="1" applyFont="1" applyBorder="1" applyAlignment="1" applyProtection="1">
      <alignment horizontal="center" vertical="center"/>
      <protection locked="0"/>
    </xf>
    <xf numFmtId="2" fontId="10" fillId="0" borderId="26" xfId="0" applyNumberFormat="1" applyFont="1" applyBorder="1" applyAlignment="1" applyProtection="1">
      <alignment horizontal="center" vertical="center"/>
      <protection locked="0"/>
    </xf>
    <xf numFmtId="2" fontId="10" fillId="0" borderId="58" xfId="0" applyNumberFormat="1" applyFont="1" applyBorder="1" applyAlignment="1" applyProtection="1">
      <alignment horizontal="center" vertical="center"/>
      <protection locked="0"/>
    </xf>
    <xf numFmtId="2" fontId="10" fillId="0" borderId="27" xfId="0" applyNumberFormat="1" applyFont="1" applyBorder="1" applyAlignment="1" applyProtection="1">
      <alignment horizontal="center" vertical="center"/>
      <protection locked="0"/>
    </xf>
    <xf numFmtId="2" fontId="10" fillId="0" borderId="32" xfId="0" applyNumberFormat="1" applyFont="1" applyBorder="1" applyAlignment="1" applyProtection="1">
      <alignment horizontal="center" vertical="center"/>
      <protection locked="0"/>
    </xf>
    <xf numFmtId="2" fontId="10" fillId="0" borderId="122"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0" fontId="10" fillId="2" borderId="71" xfId="0" applyFont="1" applyFill="1" applyBorder="1" applyAlignment="1" applyProtection="1">
      <alignment horizontal="center" vertical="center"/>
      <protection hidden="1"/>
    </xf>
    <xf numFmtId="0" fontId="10" fillId="2" borderId="73" xfId="0" applyFont="1" applyFill="1" applyBorder="1" applyAlignment="1" applyProtection="1">
      <alignment horizontal="left" vertical="center" wrapText="1"/>
      <protection hidden="1"/>
    </xf>
    <xf numFmtId="2" fontId="15" fillId="2" borderId="123" xfId="0" applyNumberFormat="1" applyFont="1" applyFill="1" applyBorder="1" applyAlignment="1">
      <alignment horizontal="center" vertical="center" wrapText="1"/>
    </xf>
    <xf numFmtId="2" fontId="10" fillId="0" borderId="124" xfId="0" applyNumberFormat="1" applyFont="1" applyBorder="1" applyAlignment="1" applyProtection="1">
      <alignment horizontal="center" vertical="center"/>
      <protection locked="0"/>
    </xf>
    <xf numFmtId="2" fontId="15" fillId="2" borderId="73" xfId="0" applyNumberFormat="1" applyFont="1" applyFill="1" applyBorder="1" applyAlignment="1">
      <alignment horizontal="center" vertical="center"/>
    </xf>
    <xf numFmtId="2" fontId="10" fillId="0" borderId="74" xfId="0" applyNumberFormat="1" applyFont="1" applyBorder="1" applyAlignment="1" applyProtection="1">
      <alignment horizontal="center" vertical="center"/>
      <protection locked="0"/>
    </xf>
    <xf numFmtId="2" fontId="10" fillId="0" borderId="75" xfId="0" applyNumberFormat="1" applyFont="1" applyBorder="1" applyAlignment="1" applyProtection="1">
      <alignment horizontal="center" vertical="center"/>
      <protection locked="0"/>
    </xf>
    <xf numFmtId="2" fontId="10" fillId="0" borderId="125" xfId="0" applyNumberFormat="1" applyFont="1" applyBorder="1" applyAlignment="1" applyProtection="1">
      <alignment horizontal="center" vertical="center"/>
      <protection locked="0"/>
    </xf>
    <xf numFmtId="2" fontId="10" fillId="0" borderId="76" xfId="0" applyNumberFormat="1" applyFont="1" applyBorder="1" applyAlignment="1" applyProtection="1">
      <alignment horizontal="center" vertical="center"/>
      <protection locked="0"/>
    </xf>
    <xf numFmtId="2" fontId="10" fillId="0" borderId="126" xfId="0" applyNumberFormat="1" applyFont="1" applyBorder="1" applyAlignment="1" applyProtection="1">
      <alignment horizontal="center" vertical="center"/>
      <protection locked="0"/>
    </xf>
    <xf numFmtId="2" fontId="10" fillId="0" borderId="73" xfId="0" applyNumberFormat="1" applyFont="1" applyBorder="1" applyAlignment="1" applyProtection="1">
      <alignment horizontal="center" vertical="center"/>
      <protection locked="0"/>
    </xf>
    <xf numFmtId="2" fontId="15" fillId="2" borderId="96" xfId="0" applyNumberFormat="1" applyFont="1" applyFill="1" applyBorder="1" applyAlignment="1" applyProtection="1">
      <alignment horizontal="center" vertical="center" wrapText="1"/>
      <protection hidden="1"/>
    </xf>
    <xf numFmtId="2" fontId="15" fillId="2" borderId="97" xfId="0" applyNumberFormat="1" applyFont="1" applyFill="1" applyBorder="1" applyAlignment="1" applyProtection="1">
      <alignment horizontal="center" vertical="center" wrapText="1"/>
      <protection hidden="1"/>
    </xf>
    <xf numFmtId="2" fontId="15" fillId="2" borderId="45" xfId="0" applyNumberFormat="1" applyFont="1" applyFill="1" applyBorder="1" applyAlignment="1" applyProtection="1">
      <alignment horizontal="center" vertical="center" wrapText="1"/>
      <protection hidden="1"/>
    </xf>
    <xf numFmtId="2" fontId="15" fillId="2" borderId="48" xfId="0" applyNumberFormat="1" applyFont="1" applyFill="1" applyBorder="1" applyAlignment="1" applyProtection="1">
      <alignment horizontal="center" vertical="center" wrapText="1"/>
      <protection hidden="1"/>
    </xf>
    <xf numFmtId="2" fontId="15" fillId="2" borderId="49" xfId="0" applyNumberFormat="1" applyFont="1" applyFill="1" applyBorder="1" applyAlignment="1" applyProtection="1">
      <alignment horizontal="center" vertical="center" wrapText="1"/>
      <protection hidden="1"/>
    </xf>
    <xf numFmtId="2" fontId="15" fillId="2" borderId="98" xfId="0" applyNumberFormat="1" applyFont="1" applyFill="1" applyBorder="1" applyAlignment="1" applyProtection="1">
      <alignment horizontal="center" vertical="center" wrapText="1"/>
      <protection hidden="1"/>
    </xf>
    <xf numFmtId="2" fontId="15" fillId="2" borderId="50" xfId="0" applyNumberFormat="1" applyFont="1" applyFill="1" applyBorder="1" applyAlignment="1" applyProtection="1">
      <alignment horizontal="center" vertical="center" wrapText="1"/>
      <protection hidden="1"/>
    </xf>
    <xf numFmtId="2" fontId="15" fillId="2" borderId="99" xfId="0" applyNumberFormat="1" applyFont="1" applyFill="1" applyBorder="1" applyAlignment="1" applyProtection="1">
      <alignment horizontal="center" vertical="center" wrapText="1"/>
      <protection hidden="1"/>
    </xf>
    <xf numFmtId="2" fontId="15" fillId="2" borderId="100" xfId="0" applyNumberFormat="1" applyFont="1" applyFill="1" applyBorder="1" applyAlignment="1" applyProtection="1">
      <alignment horizontal="center" vertical="center" wrapText="1"/>
      <protection hidden="1"/>
    </xf>
    <xf numFmtId="2" fontId="15" fillId="2" borderId="101" xfId="0" applyNumberFormat="1" applyFont="1" applyFill="1" applyBorder="1" applyAlignment="1" applyProtection="1">
      <alignment horizontal="center" vertical="center" wrapText="1"/>
      <protection hidden="1"/>
    </xf>
    <xf numFmtId="2" fontId="15" fillId="2" borderId="9" xfId="0" applyNumberFormat="1" applyFont="1" applyFill="1" applyBorder="1" applyAlignment="1" applyProtection="1">
      <alignment horizontal="center" vertical="center" wrapText="1"/>
      <protection hidden="1"/>
    </xf>
    <xf numFmtId="2" fontId="15" fillId="2" borderId="37" xfId="0" applyNumberFormat="1" applyFont="1" applyFill="1" applyBorder="1" applyAlignment="1" applyProtection="1">
      <alignment horizontal="center" vertical="center" wrapText="1"/>
      <protection hidden="1"/>
    </xf>
    <xf numFmtId="2" fontId="15" fillId="2" borderId="38" xfId="0" applyNumberFormat="1" applyFont="1" applyFill="1" applyBorder="1" applyAlignment="1" applyProtection="1">
      <alignment horizontal="center" vertical="center" wrapText="1"/>
      <protection hidden="1"/>
    </xf>
    <xf numFmtId="2" fontId="15" fillId="2" borderId="51" xfId="0" applyNumberFormat="1" applyFont="1" applyFill="1" applyBorder="1" applyAlignment="1" applyProtection="1">
      <alignment horizontal="center" vertical="center" wrapText="1"/>
      <protection hidden="1"/>
    </xf>
    <xf numFmtId="2" fontId="15" fillId="2" borderId="31" xfId="0" applyNumberFormat="1" applyFont="1" applyFill="1" applyBorder="1" applyAlignment="1" applyProtection="1">
      <alignment horizontal="center" vertical="center" wrapText="1"/>
      <protection hidden="1"/>
    </xf>
    <xf numFmtId="2" fontId="15" fillId="2" borderId="102" xfId="0" applyNumberFormat="1" applyFont="1" applyFill="1" applyBorder="1" applyAlignment="1" applyProtection="1">
      <alignment horizontal="center" vertical="center" wrapText="1"/>
      <protection hidden="1"/>
    </xf>
    <xf numFmtId="2" fontId="10" fillId="0" borderId="100" xfId="0" applyNumberFormat="1" applyFont="1" applyBorder="1" applyAlignment="1" applyProtection="1">
      <alignment horizontal="center" vertical="center" wrapText="1"/>
      <protection locked="0"/>
    </xf>
    <xf numFmtId="2" fontId="10" fillId="2" borderId="101" xfId="0" applyNumberFormat="1" applyFont="1" applyFill="1" applyBorder="1" applyAlignment="1" applyProtection="1">
      <alignment horizontal="center" vertical="center" wrapText="1"/>
      <protection hidden="1"/>
    </xf>
    <xf numFmtId="2" fontId="10" fillId="2" borderId="9" xfId="0" applyNumberFormat="1" applyFont="1" applyFill="1" applyBorder="1" applyAlignment="1" applyProtection="1">
      <alignment horizontal="center" vertical="center" wrapText="1"/>
      <protection hidden="1"/>
    </xf>
    <xf numFmtId="2" fontId="10" fillId="2" borderId="37" xfId="0" applyNumberFormat="1" applyFont="1" applyFill="1" applyBorder="1" applyAlignment="1" applyProtection="1">
      <alignment horizontal="center" vertical="center" wrapText="1"/>
      <protection hidden="1"/>
    </xf>
    <xf numFmtId="2" fontId="10" fillId="2" borderId="38" xfId="0" applyNumberFormat="1" applyFont="1" applyFill="1" applyBorder="1" applyAlignment="1" applyProtection="1">
      <alignment horizontal="center" vertical="center" wrapText="1"/>
      <protection hidden="1"/>
    </xf>
    <xf numFmtId="2" fontId="10" fillId="2" borderId="51" xfId="0" applyNumberFormat="1" applyFont="1" applyFill="1" applyBorder="1" applyAlignment="1" applyProtection="1">
      <alignment horizontal="center" vertical="center" wrapText="1"/>
      <protection hidden="1"/>
    </xf>
    <xf numFmtId="2" fontId="10" fillId="2" borderId="31" xfId="0" applyNumberFormat="1" applyFont="1" applyFill="1" applyBorder="1" applyAlignment="1" applyProtection="1">
      <alignment horizontal="center" vertical="center" wrapText="1"/>
      <protection hidden="1"/>
    </xf>
    <xf numFmtId="2" fontId="10" fillId="2" borderId="102" xfId="0" applyNumberFormat="1" applyFont="1" applyFill="1" applyBorder="1" applyAlignment="1" applyProtection="1">
      <alignment horizontal="center" vertical="center" wrapText="1"/>
      <protection hidden="1"/>
    </xf>
    <xf numFmtId="2" fontId="15" fillId="2" borderId="81" xfId="0" applyNumberFormat="1" applyFont="1" applyFill="1" applyBorder="1" applyAlignment="1" applyProtection="1">
      <alignment horizontal="center" vertical="center" wrapText="1"/>
      <protection hidden="1"/>
    </xf>
    <xf numFmtId="2" fontId="15" fillId="2" borderId="106" xfId="0" applyNumberFormat="1" applyFont="1" applyFill="1" applyBorder="1" applyAlignment="1" applyProtection="1">
      <alignment horizontal="center" vertical="center"/>
      <protection hidden="1"/>
    </xf>
    <xf numFmtId="2" fontId="15" fillId="2" borderId="6" xfId="0" applyNumberFormat="1" applyFont="1" applyFill="1" applyBorder="1" applyAlignment="1" applyProtection="1">
      <alignment horizontal="center" vertical="center"/>
      <protection hidden="1"/>
    </xf>
    <xf numFmtId="2" fontId="15" fillId="2" borderId="22" xfId="0" applyNumberFormat="1" applyFont="1" applyFill="1" applyBorder="1" applyAlignment="1" applyProtection="1">
      <alignment horizontal="center" vertical="center"/>
      <protection hidden="1"/>
    </xf>
    <xf numFmtId="2" fontId="15" fillId="2" borderId="23" xfId="0" applyNumberFormat="1" applyFont="1" applyFill="1" applyBorder="1" applyAlignment="1" applyProtection="1">
      <alignment horizontal="center" vertical="center"/>
      <protection hidden="1"/>
    </xf>
    <xf numFmtId="2" fontId="15" fillId="2" borderId="55" xfId="0" applyNumberFormat="1" applyFont="1" applyFill="1" applyBorder="1" applyAlignment="1" applyProtection="1">
      <alignment horizontal="center" vertical="center"/>
      <protection hidden="1"/>
    </xf>
    <xf numFmtId="2" fontId="15" fillId="2" borderId="24" xfId="0" applyNumberFormat="1" applyFont="1" applyFill="1" applyBorder="1" applyAlignment="1" applyProtection="1">
      <alignment horizontal="center" vertical="center"/>
      <protection hidden="1"/>
    </xf>
    <xf numFmtId="2" fontId="15" fillId="2" borderId="118" xfId="0" applyNumberFormat="1" applyFont="1" applyFill="1" applyBorder="1" applyAlignment="1" applyProtection="1">
      <alignment horizontal="center" vertical="center"/>
      <protection hidden="1"/>
    </xf>
    <xf numFmtId="2" fontId="10" fillId="0" borderId="82" xfId="0" applyNumberFormat="1" applyFont="1" applyBorder="1" applyAlignment="1" applyProtection="1">
      <alignment horizontal="center" vertical="center" wrapText="1"/>
      <protection locked="0"/>
    </xf>
    <xf numFmtId="2" fontId="15" fillId="2" borderId="30" xfId="0" applyNumberFormat="1" applyFont="1" applyFill="1" applyBorder="1" applyAlignment="1" applyProtection="1">
      <alignment horizontal="center" vertical="center" wrapText="1"/>
      <protection hidden="1"/>
    </xf>
    <xf numFmtId="2" fontId="15" fillId="2" borderId="23" xfId="0" applyNumberFormat="1" applyFont="1" applyFill="1" applyBorder="1" applyAlignment="1" applyProtection="1">
      <alignment horizontal="center" vertical="center" wrapText="1"/>
      <protection hidden="1"/>
    </xf>
    <xf numFmtId="2" fontId="15" fillId="2" borderId="106" xfId="0" applyNumberFormat="1" applyFont="1" applyFill="1" applyBorder="1" applyAlignment="1" applyProtection="1">
      <alignment horizontal="center" vertical="center" wrapText="1"/>
      <protection hidden="1"/>
    </xf>
    <xf numFmtId="2" fontId="15" fillId="2" borderId="24" xfId="0" applyNumberFormat="1" applyFont="1" applyFill="1" applyBorder="1" applyAlignment="1" applyProtection="1">
      <alignment horizontal="center" vertical="center" wrapText="1"/>
      <protection hidden="1"/>
    </xf>
    <xf numFmtId="2" fontId="15" fillId="2" borderId="55" xfId="0" applyNumberFormat="1" applyFont="1" applyFill="1" applyBorder="1" applyAlignment="1" applyProtection="1">
      <alignment horizontal="center" vertical="center" wrapText="1"/>
      <protection hidden="1"/>
    </xf>
    <xf numFmtId="2" fontId="15" fillId="2" borderId="6" xfId="0" applyNumberFormat="1" applyFont="1" applyFill="1" applyBorder="1" applyAlignment="1" applyProtection="1">
      <alignment horizontal="center" vertical="center" wrapText="1"/>
      <protection hidden="1"/>
    </xf>
    <xf numFmtId="2" fontId="10" fillId="0" borderId="81" xfId="0" applyNumberFormat="1" applyFont="1" applyBorder="1" applyAlignment="1" applyProtection="1">
      <alignment horizontal="center" vertical="center" wrapText="1"/>
      <protection locked="0"/>
    </xf>
    <xf numFmtId="2" fontId="10" fillId="0" borderId="103" xfId="0" applyNumberFormat="1" applyFont="1" applyFill="1" applyBorder="1" applyAlignment="1" applyProtection="1">
      <alignment horizontal="center" vertical="center"/>
      <protection locked="0"/>
    </xf>
    <xf numFmtId="2" fontId="10" fillId="0" borderId="37" xfId="0" applyNumberFormat="1" applyFont="1" applyFill="1" applyBorder="1" applyAlignment="1" applyProtection="1">
      <alignment horizontal="center" vertical="center"/>
      <protection locked="0"/>
    </xf>
    <xf numFmtId="2" fontId="10" fillId="0" borderId="38" xfId="0" applyNumberFormat="1" applyFont="1" applyFill="1" applyBorder="1" applyAlignment="1" applyProtection="1">
      <alignment horizontal="center" vertical="center"/>
      <protection locked="0"/>
    </xf>
    <xf numFmtId="2" fontId="10" fillId="0" borderId="51" xfId="0" applyNumberFormat="1" applyFont="1" applyFill="1" applyBorder="1" applyAlignment="1" applyProtection="1">
      <alignment horizontal="center" vertical="center"/>
      <protection locked="0"/>
    </xf>
    <xf numFmtId="2" fontId="10" fillId="0" borderId="31" xfId="0" applyNumberFormat="1" applyFont="1" applyFill="1" applyBorder="1" applyAlignment="1" applyProtection="1">
      <alignment horizontal="center" vertical="center"/>
      <protection locked="0"/>
    </xf>
    <xf numFmtId="2" fontId="10" fillId="0" borderId="29" xfId="0" applyNumberFormat="1" applyFont="1" applyFill="1" applyBorder="1" applyAlignment="1" applyProtection="1">
      <alignment horizontal="center" vertical="center"/>
      <protection locked="0"/>
    </xf>
    <xf numFmtId="2" fontId="10" fillId="0" borderId="102" xfId="0" applyNumberFormat="1" applyFont="1" applyFill="1" applyBorder="1" applyAlignment="1" applyProtection="1">
      <alignment horizontal="center" vertical="center"/>
      <protection locked="0"/>
    </xf>
    <xf numFmtId="2" fontId="10" fillId="0" borderId="9" xfId="0" applyNumberFormat="1" applyFont="1" applyFill="1" applyBorder="1" applyAlignment="1" applyProtection="1">
      <alignment horizontal="center" vertical="center"/>
      <protection locked="0"/>
    </xf>
    <xf numFmtId="2" fontId="10" fillId="0" borderId="22" xfId="0" applyNumberFormat="1" applyFont="1" applyFill="1" applyBorder="1" applyAlignment="1" applyProtection="1">
      <alignment horizontal="center" vertical="center"/>
      <protection locked="0"/>
    </xf>
    <xf numFmtId="2" fontId="10" fillId="0" borderId="23" xfId="0" applyNumberFormat="1" applyFont="1" applyFill="1" applyBorder="1" applyAlignment="1" applyProtection="1">
      <alignment horizontal="center" vertical="center"/>
      <protection locked="0"/>
    </xf>
    <xf numFmtId="2" fontId="10" fillId="0" borderId="55" xfId="0" applyNumberFormat="1" applyFont="1" applyFill="1" applyBorder="1" applyAlignment="1" applyProtection="1">
      <alignment horizontal="center" vertical="center"/>
      <protection locked="0"/>
    </xf>
    <xf numFmtId="2" fontId="10" fillId="0" borderId="24" xfId="0" applyNumberFormat="1" applyFont="1" applyFill="1" applyBorder="1" applyAlignment="1" applyProtection="1">
      <alignment horizontal="center" vertical="center"/>
      <protection locked="0"/>
    </xf>
    <xf numFmtId="2" fontId="10" fillId="0" borderId="30" xfId="0" applyNumberFormat="1" applyFont="1" applyFill="1" applyBorder="1" applyAlignment="1" applyProtection="1">
      <alignment horizontal="center" vertical="center"/>
      <protection locked="0"/>
    </xf>
    <xf numFmtId="2" fontId="10" fillId="0" borderId="118" xfId="0" applyNumberFormat="1" applyFont="1" applyFill="1" applyBorder="1" applyAlignment="1" applyProtection="1">
      <alignment horizontal="center" vertical="center"/>
      <protection locked="0"/>
    </xf>
    <xf numFmtId="2" fontId="10" fillId="0" borderId="6" xfId="0" applyNumberFormat="1" applyFont="1" applyFill="1" applyBorder="1" applyAlignment="1" applyProtection="1">
      <alignment horizontal="center" vertical="center"/>
      <protection locked="0"/>
    </xf>
    <xf numFmtId="2" fontId="10" fillId="0" borderId="127" xfId="0" applyNumberFormat="1" applyFont="1" applyFill="1" applyBorder="1" applyAlignment="1" applyProtection="1">
      <alignment horizontal="center" vertical="center"/>
      <protection locked="0"/>
    </xf>
    <xf numFmtId="2" fontId="10" fillId="0" borderId="25"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vertical="center"/>
      <protection locked="0"/>
    </xf>
    <xf numFmtId="2" fontId="10" fillId="0" borderId="58" xfId="0" applyNumberFormat="1" applyFont="1" applyFill="1" applyBorder="1" applyAlignment="1" applyProtection="1">
      <alignment horizontal="center" vertical="center"/>
      <protection locked="0"/>
    </xf>
    <xf numFmtId="2" fontId="10" fillId="0" borderId="27" xfId="0" applyNumberFormat="1" applyFont="1" applyFill="1" applyBorder="1" applyAlignment="1" applyProtection="1">
      <alignment horizontal="center" vertical="center"/>
      <protection locked="0"/>
    </xf>
    <xf numFmtId="2" fontId="10" fillId="0" borderId="32" xfId="0" applyNumberFormat="1" applyFont="1" applyFill="1" applyBorder="1" applyAlignment="1" applyProtection="1">
      <alignment horizontal="center" vertical="center"/>
      <protection locked="0"/>
    </xf>
    <xf numFmtId="2" fontId="10" fillId="0" borderId="122"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hidden="1"/>
    </xf>
    <xf numFmtId="0" fontId="10" fillId="2" borderId="10" xfId="0" applyFont="1" applyFill="1" applyBorder="1" applyAlignment="1" applyProtection="1">
      <alignment horizontal="left" vertical="center" wrapText="1"/>
      <protection hidden="1"/>
    </xf>
    <xf numFmtId="2" fontId="15" fillId="2" borderId="128" xfId="0" applyNumberFormat="1" applyFont="1" applyFill="1" applyBorder="1" applyAlignment="1">
      <alignment horizontal="center" vertical="center" wrapText="1"/>
    </xf>
    <xf numFmtId="2" fontId="10" fillId="0" borderId="129" xfId="0" applyNumberFormat="1" applyFont="1" applyFill="1" applyBorder="1" applyAlignment="1" applyProtection="1">
      <alignment horizontal="center" vertical="center"/>
      <protection locked="0"/>
    </xf>
    <xf numFmtId="2" fontId="15" fillId="2" borderId="10" xfId="0" applyNumberFormat="1" applyFont="1" applyFill="1" applyBorder="1" applyAlignment="1">
      <alignment horizontal="center" vertical="center"/>
    </xf>
    <xf numFmtId="2" fontId="10" fillId="0" borderId="39" xfId="0" applyNumberFormat="1" applyFont="1" applyFill="1" applyBorder="1" applyAlignment="1" applyProtection="1">
      <alignment horizontal="center" vertical="center"/>
      <protection locked="0"/>
    </xf>
    <xf numFmtId="2" fontId="10" fillId="0" borderId="34" xfId="0" applyNumberFormat="1" applyFont="1" applyFill="1" applyBorder="1" applyAlignment="1" applyProtection="1">
      <alignment horizontal="center" vertical="center"/>
      <protection locked="0"/>
    </xf>
    <xf numFmtId="2" fontId="10" fillId="0" borderId="93" xfId="0" applyNumberFormat="1" applyFont="1" applyFill="1" applyBorder="1" applyAlignment="1" applyProtection="1">
      <alignment horizontal="center" vertical="center"/>
      <protection locked="0"/>
    </xf>
    <xf numFmtId="2" fontId="10" fillId="0" borderId="35" xfId="0" applyNumberFormat="1" applyFont="1" applyFill="1" applyBorder="1" applyAlignment="1" applyProtection="1">
      <alignment horizontal="center" vertical="center"/>
      <protection locked="0"/>
    </xf>
    <xf numFmtId="2" fontId="10" fillId="0" borderId="33" xfId="0" applyNumberFormat="1" applyFont="1" applyFill="1" applyBorder="1" applyAlignment="1" applyProtection="1">
      <alignment horizontal="center" vertical="center"/>
      <protection locked="0"/>
    </xf>
    <xf numFmtId="2" fontId="10" fillId="0" borderId="130" xfId="0" applyNumberFormat="1" applyFont="1" applyFill="1" applyBorder="1" applyAlignment="1" applyProtection="1">
      <alignment horizontal="center" vertical="center"/>
      <protection locked="0"/>
    </xf>
    <xf numFmtId="2" fontId="10" fillId="0" borderId="10" xfId="0" applyNumberFormat="1" applyFont="1" applyFill="1" applyBorder="1" applyAlignment="1" applyProtection="1">
      <alignment horizontal="center" vertical="center"/>
      <protection locked="0"/>
    </xf>
    <xf numFmtId="0" fontId="15" fillId="2" borderId="40" xfId="0" applyFont="1" applyFill="1" applyBorder="1" applyAlignment="1" applyProtection="1">
      <alignment horizontal="center" vertical="center"/>
      <protection hidden="1"/>
    </xf>
    <xf numFmtId="0" fontId="15" fillId="2" borderId="92" xfId="0" applyFont="1" applyFill="1" applyBorder="1" applyAlignment="1" applyProtection="1">
      <alignment horizontal="center" vertical="center" wrapText="1"/>
      <protection hidden="1"/>
    </xf>
    <xf numFmtId="2" fontId="15" fillId="2" borderId="84" xfId="0" applyNumberFormat="1" applyFont="1" applyFill="1" applyBorder="1" applyAlignment="1">
      <alignment horizontal="center" vertical="center" wrapText="1"/>
    </xf>
    <xf numFmtId="2" fontId="15" fillId="2" borderId="42" xfId="0" applyNumberFormat="1" applyFont="1" applyFill="1" applyBorder="1" applyAlignment="1">
      <alignment horizontal="center" vertical="center"/>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95"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2" fontId="15" fillId="2" borderId="40" xfId="0" applyNumberFormat="1" applyFont="1" applyFill="1" applyBorder="1" applyAlignment="1">
      <alignment horizontal="center" vertical="center"/>
    </xf>
    <xf numFmtId="0" fontId="0" fillId="0" borderId="0" xfId="1" applyFont="1" applyProtection="1"/>
    <xf numFmtId="0" fontId="46" fillId="0" borderId="0" xfId="1" applyFill="1" applyProtection="1"/>
    <xf numFmtId="0" fontId="46" fillId="0" borderId="0" xfId="1" applyProtection="1"/>
    <xf numFmtId="0" fontId="0" fillId="0" borderId="4" xfId="5" applyFont="1" applyBorder="1" applyProtection="1"/>
    <xf numFmtId="0" fontId="46" fillId="0" borderId="4" xfId="5" applyFill="1" applyBorder="1" applyProtection="1"/>
    <xf numFmtId="0" fontId="46" fillId="0" borderId="4" xfId="5" applyBorder="1" applyProtection="1"/>
    <xf numFmtId="0" fontId="15" fillId="2" borderId="5" xfId="5" applyFont="1" applyFill="1" applyBorder="1" applyAlignment="1" applyProtection="1">
      <alignment horizontal="center" vertical="center"/>
    </xf>
    <xf numFmtId="0" fontId="15" fillId="2" borderId="131" xfId="5" applyFont="1" applyFill="1" applyBorder="1" applyAlignment="1" applyProtection="1">
      <alignment horizontal="center" vertical="center"/>
    </xf>
    <xf numFmtId="169" fontId="15" fillId="2" borderId="5" xfId="5" applyNumberFormat="1" applyFont="1" applyFill="1" applyBorder="1" applyAlignment="1" applyProtection="1">
      <alignment horizontal="center" vertical="center" wrapText="1"/>
    </xf>
    <xf numFmtId="3" fontId="15" fillId="2" borderId="132" xfId="5" applyNumberFormat="1" applyFont="1" applyFill="1" applyBorder="1" applyAlignment="1" applyProtection="1">
      <alignment horizontal="center" vertical="center" wrapText="1"/>
    </xf>
    <xf numFmtId="3" fontId="15" fillId="2" borderId="42" xfId="5" applyNumberFormat="1" applyFont="1" applyFill="1" applyBorder="1" applyAlignment="1" applyProtection="1">
      <alignment horizontal="center" vertical="center" wrapText="1"/>
    </xf>
    <xf numFmtId="0" fontId="0" fillId="0" borderId="0" xfId="5" applyFont="1" applyAlignment="1" applyProtection="1">
      <alignment wrapText="1"/>
    </xf>
    <xf numFmtId="0" fontId="15" fillId="2" borderId="8" xfId="5" applyFont="1" applyFill="1" applyBorder="1" applyAlignment="1" applyProtection="1">
      <alignment horizontal="center" vertical="center"/>
    </xf>
    <xf numFmtId="0" fontId="15" fillId="2" borderId="131" xfId="5" applyFont="1" applyFill="1" applyBorder="1" applyAlignment="1" applyProtection="1">
      <alignment horizontal="center" vertical="center" wrapText="1"/>
    </xf>
    <xf numFmtId="0" fontId="15" fillId="2" borderId="53" xfId="5" applyFont="1" applyFill="1" applyBorder="1" applyAlignment="1" applyProtection="1">
      <alignment horizontal="center" vertical="center"/>
    </xf>
    <xf numFmtId="4" fontId="15" fillId="2" borderId="8" xfId="5" applyNumberFormat="1" applyFont="1" applyFill="1" applyBorder="1" applyAlignment="1" applyProtection="1">
      <alignment horizontal="center" vertical="center"/>
    </xf>
    <xf numFmtId="4" fontId="15" fillId="2" borderId="133" xfId="5" applyNumberFormat="1" applyFont="1" applyFill="1" applyBorder="1" applyAlignment="1" applyProtection="1">
      <alignment horizontal="center" vertical="center"/>
    </xf>
    <xf numFmtId="0" fontId="23" fillId="0" borderId="0" xfId="5" applyFont="1" applyAlignment="1" applyProtection="1">
      <alignment wrapText="1"/>
    </xf>
    <xf numFmtId="0" fontId="21" fillId="2" borderId="6" xfId="5" applyFont="1" applyFill="1" applyBorder="1" applyAlignment="1" applyProtection="1">
      <alignment horizontal="center" vertical="center"/>
    </xf>
    <xf numFmtId="0" fontId="21" fillId="2" borderId="109"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7" fontId="15" fillId="2" borderId="9" xfId="5" applyNumberFormat="1" applyFont="1" applyFill="1" applyBorder="1" applyAlignment="1" applyProtection="1">
      <alignment horizontal="center" vertical="center"/>
    </xf>
    <xf numFmtId="4" fontId="15" fillId="2" borderId="109" xfId="5" applyNumberFormat="1" applyFont="1" applyFill="1" applyBorder="1" applyAlignment="1" applyProtection="1">
      <alignment horizontal="center" vertical="center"/>
    </xf>
    <xf numFmtId="0" fontId="20" fillId="2" borderId="6" xfId="5" applyFont="1" applyFill="1" applyBorder="1" applyAlignment="1" applyProtection="1">
      <alignment horizontal="center" vertical="center"/>
    </xf>
    <xf numFmtId="0" fontId="20" fillId="2" borderId="109" xfId="5" applyFont="1" applyFill="1" applyBorder="1" applyAlignment="1" applyProtection="1">
      <alignment horizontal="right" vertical="center"/>
    </xf>
    <xf numFmtId="0" fontId="20" fillId="2" borderId="32" xfId="5" applyFont="1" applyFill="1" applyBorder="1" applyAlignment="1" applyProtection="1">
      <alignment horizontal="center" vertical="center"/>
    </xf>
    <xf numFmtId="167" fontId="10" fillId="0" borderId="6" xfId="5" applyNumberFormat="1" applyFont="1" applyBorder="1" applyAlignment="1" applyProtection="1">
      <alignment horizontal="center" vertical="center"/>
      <protection locked="0"/>
    </xf>
    <xf numFmtId="0" fontId="20" fillId="2" borderId="129" xfId="5" applyFont="1" applyFill="1" applyBorder="1" applyAlignment="1" applyProtection="1">
      <alignment horizontal="right" vertical="center"/>
    </xf>
    <xf numFmtId="167" fontId="10" fillId="0" borderId="10" xfId="5" applyNumberFormat="1" applyFont="1" applyBorder="1" applyAlignment="1" applyProtection="1">
      <alignment horizontal="center" vertical="center"/>
      <protection locked="0"/>
    </xf>
    <xf numFmtId="4" fontId="15" fillId="2" borderId="129" xfId="5" applyNumberFormat="1" applyFont="1" applyFill="1" applyBorder="1" applyAlignment="1" applyProtection="1">
      <alignment horizontal="center" vertical="center"/>
    </xf>
    <xf numFmtId="0" fontId="21" fillId="2" borderId="109" xfId="5" applyFont="1" applyFill="1" applyBorder="1" applyAlignment="1" applyProtection="1">
      <alignment horizontal="right" vertical="center" wrapText="1"/>
    </xf>
    <xf numFmtId="0" fontId="21" fillId="2" borderId="8" xfId="5" applyFont="1" applyFill="1" applyBorder="1" applyAlignment="1" applyProtection="1">
      <alignment horizontal="center" vertical="center"/>
    </xf>
    <xf numFmtId="4" fontId="10" fillId="2" borderId="9" xfId="5" applyNumberFormat="1" applyFont="1" applyFill="1" applyBorder="1" applyAlignment="1" applyProtection="1">
      <alignment horizontal="center" vertical="center"/>
    </xf>
    <xf numFmtId="4" fontId="10" fillId="0" borderId="109" xfId="5" applyNumberFormat="1" applyFont="1" applyBorder="1" applyAlignment="1" applyProtection="1">
      <alignment horizontal="center" vertical="center"/>
      <protection locked="0"/>
    </xf>
    <xf numFmtId="4" fontId="10" fillId="2" borderId="109" xfId="5" applyNumberFormat="1" applyFont="1" applyFill="1" applyBorder="1" applyAlignment="1" applyProtection="1">
      <alignment horizontal="center" vertical="center"/>
    </xf>
    <xf numFmtId="0" fontId="20" fillId="2" borderId="10" xfId="5" applyFont="1" applyFill="1" applyBorder="1" applyAlignment="1" applyProtection="1">
      <alignment horizontal="center" vertical="center"/>
    </xf>
    <xf numFmtId="4" fontId="10" fillId="0" borderId="129" xfId="5" applyNumberFormat="1" applyFont="1" applyFill="1" applyBorder="1" applyAlignment="1" applyProtection="1">
      <alignment horizontal="center" vertical="center"/>
      <protection locked="0"/>
    </xf>
    <xf numFmtId="0" fontId="15" fillId="2" borderId="134" xfId="5" applyFont="1" applyFill="1" applyBorder="1" applyAlignment="1" applyProtection="1">
      <alignment horizontal="center" vertical="center"/>
    </xf>
    <xf numFmtId="167" fontId="15" fillId="2" borderId="132" xfId="5" applyNumberFormat="1" applyFont="1" applyFill="1" applyBorder="1" applyAlignment="1" applyProtection="1">
      <alignment horizontal="center" vertical="center"/>
    </xf>
    <xf numFmtId="4" fontId="15" fillId="2" borderId="5" xfId="5" applyNumberFormat="1" applyFont="1" applyFill="1" applyBorder="1" applyAlignment="1" applyProtection="1">
      <alignment horizontal="center" vertical="center"/>
    </xf>
    <xf numFmtId="0" fontId="15" fillId="2" borderId="135" xfId="5" applyFont="1" applyFill="1" applyBorder="1" applyAlignment="1" applyProtection="1">
      <alignment horizontal="center" vertical="center"/>
    </xf>
    <xf numFmtId="167" fontId="15" fillId="2" borderId="133" xfId="5" applyNumberFormat="1" applyFont="1" applyFill="1" applyBorder="1" applyAlignment="1" applyProtection="1">
      <alignment horizontal="center" vertical="center"/>
    </xf>
    <xf numFmtId="0" fontId="21" fillId="2" borderId="106" xfId="5" applyFont="1" applyFill="1" applyBorder="1" applyAlignment="1" applyProtection="1">
      <alignment horizontal="right" vertical="center"/>
    </xf>
    <xf numFmtId="4" fontId="21" fillId="2" borderId="109" xfId="5" applyNumberFormat="1" applyFont="1" applyFill="1" applyBorder="1" applyAlignment="1" applyProtection="1">
      <alignment horizontal="center" vertical="center"/>
    </xf>
    <xf numFmtId="0" fontId="21" fillId="2" borderId="7" xfId="5" applyFont="1" applyFill="1" applyBorder="1" applyAlignment="1" applyProtection="1">
      <alignment horizontal="center" vertical="center"/>
    </xf>
    <xf numFmtId="0" fontId="21" fillId="2" borderId="77" xfId="5" applyFont="1" applyFill="1" applyBorder="1" applyAlignment="1" applyProtection="1">
      <alignment horizontal="right" vertical="center"/>
    </xf>
    <xf numFmtId="4" fontId="10" fillId="2" borderId="57" xfId="5" applyNumberFormat="1" applyFont="1" applyFill="1" applyBorder="1" applyAlignment="1" applyProtection="1">
      <alignment horizontal="center" vertical="center"/>
    </xf>
    <xf numFmtId="0" fontId="15" fillId="2" borderId="135" xfId="5" applyFont="1" applyFill="1" applyBorder="1" applyAlignment="1" applyProtection="1">
      <alignment horizontal="center" vertical="center" wrapText="1"/>
    </xf>
    <xf numFmtId="4" fontId="10" fillId="2" borderId="8" xfId="5" applyNumberFormat="1" applyFont="1" applyFill="1" applyBorder="1" applyAlignment="1" applyProtection="1">
      <alignment horizontal="center" vertical="center"/>
    </xf>
    <xf numFmtId="167" fontId="21" fillId="2" borderId="109" xfId="5" applyNumberFormat="1" applyFont="1" applyFill="1" applyBorder="1" applyAlignment="1" applyProtection="1">
      <alignment horizontal="center" vertical="center"/>
    </xf>
    <xf numFmtId="0" fontId="15" fillId="2" borderId="44" xfId="5" applyFont="1" applyFill="1" applyBorder="1" applyAlignment="1" applyProtection="1">
      <alignment horizontal="center" vertical="center"/>
    </xf>
    <xf numFmtId="4" fontId="15" fillId="2" borderId="42" xfId="5" applyNumberFormat="1" applyFont="1" applyFill="1" applyBorder="1" applyAlignment="1" applyProtection="1">
      <alignment horizontal="center" vertical="center"/>
    </xf>
    <xf numFmtId="4" fontId="10" fillId="2" borderId="5" xfId="5" applyNumberFormat="1" applyFont="1" applyFill="1" applyBorder="1" applyAlignment="1" applyProtection="1">
      <alignment horizontal="center" vertical="center"/>
    </xf>
    <xf numFmtId="4" fontId="15" fillId="0" borderId="132" xfId="5" applyNumberFormat="1" applyFont="1" applyBorder="1" applyAlignment="1" applyProtection="1">
      <alignment horizontal="center" vertical="center"/>
      <protection locked="0"/>
    </xf>
    <xf numFmtId="0" fontId="15" fillId="2" borderId="44" xfId="5" applyFont="1" applyFill="1" applyBorder="1" applyAlignment="1" applyProtection="1">
      <alignment horizontal="center" vertical="center" wrapText="1"/>
    </xf>
    <xf numFmtId="4" fontId="15" fillId="0" borderId="42" xfId="5" applyNumberFormat="1" applyFont="1" applyBorder="1" applyAlignment="1" applyProtection="1">
      <alignment horizontal="center" vertical="center"/>
      <protection locked="0"/>
    </xf>
    <xf numFmtId="0" fontId="15" fillId="2" borderId="92" xfId="5" applyFont="1" applyFill="1" applyBorder="1" applyAlignment="1" applyProtection="1">
      <alignment horizontal="center" vertical="center"/>
    </xf>
    <xf numFmtId="0" fontId="15" fillId="2" borderId="136" xfId="5" applyFont="1" applyFill="1" applyBorder="1" applyAlignment="1" applyProtection="1">
      <alignment horizontal="center" vertical="center"/>
    </xf>
    <xf numFmtId="167" fontId="15" fillId="0" borderId="137" xfId="5" applyNumberFormat="1" applyFont="1" applyBorder="1" applyAlignment="1" applyProtection="1">
      <alignment horizontal="center" vertical="center"/>
      <protection locked="0"/>
    </xf>
    <xf numFmtId="4" fontId="24" fillId="2" borderId="5" xfId="5" applyNumberFormat="1" applyFont="1" applyFill="1" applyBorder="1" applyAlignment="1" applyProtection="1">
      <alignment horizontal="center" vertical="center"/>
    </xf>
    <xf numFmtId="4" fontId="24" fillId="2" borderId="137" xfId="5" applyNumberFormat="1" applyFont="1" applyFill="1" applyBorder="1" applyAlignment="1" applyProtection="1">
      <alignment horizontal="center" vertical="center"/>
    </xf>
    <xf numFmtId="167" fontId="15" fillId="2" borderId="137" xfId="5" applyNumberFormat="1" applyFont="1" applyFill="1" applyBorder="1" applyAlignment="1" applyProtection="1">
      <alignment horizontal="center" vertical="center"/>
    </xf>
    <xf numFmtId="0" fontId="15" fillId="2" borderId="40" xfId="5" applyFont="1" applyFill="1" applyBorder="1" applyAlignment="1" applyProtection="1">
      <alignment horizontal="center" vertical="center"/>
    </xf>
    <xf numFmtId="4" fontId="15" fillId="2" borderId="44" xfId="5" applyNumberFormat="1" applyFont="1" applyFill="1" applyBorder="1" applyAlignment="1" applyProtection="1">
      <alignment horizontal="center" vertical="center"/>
    </xf>
    <xf numFmtId="4" fontId="24" fillId="2" borderId="42" xfId="5" applyNumberFormat="1" applyFont="1" applyFill="1" applyBorder="1" applyAlignment="1" applyProtection="1">
      <alignment horizontal="center" vertical="center"/>
    </xf>
    <xf numFmtId="168" fontId="15" fillId="2" borderId="133" xfId="5" applyNumberFormat="1" applyFont="1" applyFill="1" applyBorder="1" applyAlignment="1" applyProtection="1">
      <alignment horizontal="center" vertical="center"/>
    </xf>
    <xf numFmtId="1" fontId="21" fillId="2" borderId="6" xfId="5" applyNumberFormat="1" applyFont="1" applyFill="1" applyBorder="1" applyAlignment="1" applyProtection="1">
      <alignment horizontal="center" vertical="center"/>
    </xf>
    <xf numFmtId="1" fontId="21" fillId="2" borderId="7" xfId="5" applyNumberFormat="1" applyFont="1" applyFill="1" applyBorder="1" applyAlignment="1" applyProtection="1">
      <alignment horizontal="center" vertical="center"/>
    </xf>
    <xf numFmtId="4" fontId="21" fillId="2" borderId="127"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0" fontId="21" fillId="2" borderId="138" xfId="5" applyFont="1" applyFill="1" applyBorder="1" applyAlignment="1" applyProtection="1">
      <alignment horizontal="center" vertical="center"/>
    </xf>
    <xf numFmtId="1" fontId="21" fillId="2" borderId="10" xfId="5" applyNumberFormat="1" applyFont="1" applyFill="1" applyBorder="1" applyAlignment="1" applyProtection="1">
      <alignment horizontal="center" vertical="center"/>
    </xf>
    <xf numFmtId="4" fontId="21" fillId="2" borderId="129" xfId="5" applyNumberFormat="1" applyFont="1" applyFill="1" applyBorder="1" applyAlignment="1" applyProtection="1">
      <alignment horizontal="center" vertical="center"/>
    </xf>
    <xf numFmtId="0" fontId="1" fillId="0" borderId="0" xfId="5" applyFont="1" applyFill="1" applyProtection="1"/>
    <xf numFmtId="4" fontId="46" fillId="0" borderId="0" xfId="5" applyNumberFormat="1" applyProtection="1"/>
    <xf numFmtId="0" fontId="46" fillId="0" borderId="4" xfId="6" applyBorder="1"/>
    <xf numFmtId="0" fontId="15" fillId="2" borderId="5" xfId="6" applyFont="1" applyFill="1" applyBorder="1" applyAlignment="1">
      <alignment horizontal="center" vertical="center"/>
    </xf>
    <xf numFmtId="169" fontId="15" fillId="2" borderId="5" xfId="6" applyNumberFormat="1" applyFont="1" applyFill="1" applyBorder="1" applyAlignment="1">
      <alignment horizontal="center" vertical="center" wrapText="1"/>
    </xf>
    <xf numFmtId="3" fontId="15" fillId="2" borderId="5" xfId="6" applyNumberFormat="1" applyFont="1" applyFill="1" applyBorder="1" applyAlignment="1">
      <alignment horizontal="center" vertical="center"/>
    </xf>
    <xf numFmtId="0" fontId="46" fillId="0" borderId="0" xfId="6" applyAlignment="1">
      <alignment wrapText="1"/>
    </xf>
    <xf numFmtId="4" fontId="15" fillId="2" borderId="5" xfId="6" applyNumberFormat="1" applyFont="1" applyFill="1" applyBorder="1" applyAlignment="1">
      <alignment horizontal="center" vertical="center"/>
    </xf>
    <xf numFmtId="0" fontId="15" fillId="2" borderId="57" xfId="6" applyFont="1" applyFill="1" applyBorder="1" applyAlignment="1">
      <alignment horizontal="center" vertical="center"/>
    </xf>
    <xf numFmtId="4" fontId="15" fillId="2" borderId="57" xfId="6" applyNumberFormat="1" applyFont="1" applyFill="1" applyBorder="1" applyAlignment="1">
      <alignment horizontal="center" vertical="center"/>
    </xf>
    <xf numFmtId="3" fontId="15" fillId="2" borderId="57" xfId="6" applyNumberFormat="1" applyFont="1" applyFill="1" applyBorder="1" applyAlignment="1">
      <alignment horizontal="center" vertical="center"/>
    </xf>
    <xf numFmtId="0" fontId="23" fillId="0" borderId="0" xfId="6" applyFont="1" applyAlignment="1">
      <alignment wrapText="1"/>
    </xf>
    <xf numFmtId="0" fontId="15" fillId="2" borderId="134" xfId="6" applyFont="1" applyFill="1" applyBorder="1" applyAlignment="1">
      <alignment horizontal="center" vertical="center"/>
    </xf>
    <xf numFmtId="4" fontId="15" fillId="2" borderId="134" xfId="6" applyNumberFormat="1" applyFont="1" applyFill="1" applyBorder="1" applyAlignment="1">
      <alignment horizontal="center" vertical="center"/>
    </xf>
    <xf numFmtId="3" fontId="15" fillId="2" borderId="134"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46"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134" xfId="6" applyNumberFormat="1" applyFont="1" applyBorder="1" applyAlignment="1" applyProtection="1">
      <alignment horizontal="center" vertical="center"/>
      <protection locked="0"/>
    </xf>
    <xf numFmtId="0" fontId="15" fillId="2" borderId="44" xfId="6" applyFont="1" applyFill="1" applyBorder="1" applyAlignment="1">
      <alignment horizontal="center" vertical="center"/>
    </xf>
    <xf numFmtId="3" fontId="15" fillId="2" borderId="44" xfId="6" applyNumberFormat="1" applyFont="1" applyFill="1" applyBorder="1" applyAlignment="1">
      <alignment horizontal="center" vertical="center"/>
    </xf>
    <xf numFmtId="3" fontId="15" fillId="2" borderId="42" xfId="6" applyNumberFormat="1" applyFont="1" applyFill="1" applyBorder="1" applyAlignment="1">
      <alignment horizontal="center" vertical="center"/>
    </xf>
    <xf numFmtId="0" fontId="15" fillId="2" borderId="9" xfId="6" applyFont="1" applyFill="1" applyBorder="1" applyAlignment="1">
      <alignment horizontal="center" vertical="center"/>
    </xf>
    <xf numFmtId="2" fontId="15" fillId="2" borderId="9" xfId="6" applyNumberFormat="1" applyFont="1" applyFill="1" applyBorder="1" applyAlignment="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2" fontId="15" fillId="2" borderId="10" xfId="6" applyNumberFormat="1" applyFont="1" applyFill="1" applyBorder="1" applyAlignment="1">
      <alignment horizontal="center" vertical="center" wrapText="1"/>
    </xf>
    <xf numFmtId="3" fontId="21" fillId="2" borderId="10" xfId="6" applyNumberFormat="1" applyFont="1" applyFill="1" applyBorder="1" applyAlignment="1">
      <alignment horizontal="center" vertical="center" wrapText="1"/>
    </xf>
    <xf numFmtId="2" fontId="15" fillId="2" borderId="8" xfId="6" applyNumberFormat="1" applyFont="1" applyFill="1" applyBorder="1" applyAlignment="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2" fontId="21" fillId="2" borderId="10" xfId="6" applyNumberFormat="1" applyFont="1" applyFill="1" applyBorder="1" applyAlignment="1">
      <alignment horizontal="center" vertical="center"/>
    </xf>
    <xf numFmtId="0" fontId="15" fillId="2" borderId="8" xfId="6" applyFont="1" applyFill="1" applyBorder="1" applyAlignment="1">
      <alignment horizontal="right" vertical="center" wrapText="1"/>
    </xf>
    <xf numFmtId="2" fontId="21" fillId="2" borderId="8" xfId="6" applyNumberFormat="1" applyFont="1" applyFill="1" applyBorder="1" applyAlignment="1">
      <alignment horizontal="center" vertical="center"/>
    </xf>
    <xf numFmtId="0" fontId="15" fillId="2" borderId="134" xfId="6" applyFont="1" applyFill="1" applyBorder="1" applyAlignment="1">
      <alignment horizontal="center" vertical="center" wrapText="1"/>
    </xf>
    <xf numFmtId="2" fontId="15" fillId="2" borderId="134" xfId="6" applyNumberFormat="1" applyFont="1" applyFill="1" applyBorder="1" applyAlignment="1">
      <alignment horizontal="center" vertical="center"/>
    </xf>
    <xf numFmtId="3" fontId="21" fillId="2" borderId="134" xfId="6" applyNumberFormat="1" applyFont="1" applyFill="1" applyBorder="1" applyAlignment="1">
      <alignment horizontal="center" vertical="center" wrapText="1"/>
    </xf>
    <xf numFmtId="2" fontId="15" fillId="2" borderId="8" xfId="6" applyNumberFormat="1" applyFont="1" applyFill="1" applyBorder="1" applyAlignment="1">
      <alignment horizontal="center" vertical="center"/>
    </xf>
    <xf numFmtId="0" fontId="15" fillId="2" borderId="92" xfId="6" applyFont="1" applyFill="1" applyBorder="1" applyAlignment="1">
      <alignment horizontal="center" vertical="center"/>
    </xf>
    <xf numFmtId="0" fontId="15" fillId="2" borderId="92" xfId="6" applyFont="1" applyFill="1" applyBorder="1" applyAlignment="1">
      <alignment horizontal="right" vertical="center" wrapText="1"/>
    </xf>
    <xf numFmtId="0" fontId="15" fillId="2" borderId="92" xfId="6" applyFont="1" applyFill="1" applyBorder="1" applyAlignment="1">
      <alignment horizontal="center" vertical="center" wrapText="1"/>
    </xf>
    <xf numFmtId="2" fontId="21" fillId="2" borderId="92" xfId="6" applyNumberFormat="1" applyFont="1" applyFill="1" applyBorder="1" applyAlignment="1">
      <alignment horizontal="center" vertical="center"/>
    </xf>
    <xf numFmtId="3" fontId="21" fillId="2" borderId="92"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169" fontId="15" fillId="2" borderId="5" xfId="6" applyNumberFormat="1" applyFont="1" applyFill="1" applyBorder="1" applyAlignment="1">
      <alignment horizontal="center" vertical="center"/>
    </xf>
    <xf numFmtId="0" fontId="1" fillId="0" borderId="0" xfId="6" applyFont="1"/>
    <xf numFmtId="4" fontId="46" fillId="0" borderId="0" xfId="6" applyNumberFormat="1"/>
    <xf numFmtId="0" fontId="46" fillId="0" borderId="4" xfId="7" applyBorder="1"/>
    <xf numFmtId="0" fontId="15" fillId="2" borderId="5" xfId="7" applyFont="1" applyFill="1" applyBorder="1" applyAlignment="1">
      <alignment horizontal="center" vertical="center"/>
    </xf>
    <xf numFmtId="0" fontId="15" fillId="2" borderId="44" xfId="7" applyFont="1" applyFill="1" applyBorder="1" applyAlignment="1">
      <alignment horizontal="center" vertical="center"/>
    </xf>
    <xf numFmtId="169" fontId="15" fillId="2" borderId="14" xfId="7" applyNumberFormat="1" applyFont="1" applyFill="1" applyBorder="1" applyAlignment="1">
      <alignment horizontal="center" vertical="center" wrapText="1"/>
    </xf>
    <xf numFmtId="3" fontId="15" fillId="2" borderId="42" xfId="7" applyNumberFormat="1" applyFont="1" applyFill="1" applyBorder="1" applyAlignment="1">
      <alignment horizontal="center" vertical="center" wrapText="1"/>
    </xf>
    <xf numFmtId="0" fontId="25" fillId="0" borderId="0" xfId="7" applyFont="1" applyAlignment="1">
      <alignment horizontal="center" vertical="center"/>
    </xf>
    <xf numFmtId="0" fontId="46" fillId="0" borderId="0" xfId="7" applyAlignment="1">
      <alignment wrapText="1"/>
    </xf>
    <xf numFmtId="0" fontId="20" fillId="2" borderId="46" xfId="7" applyFont="1" applyFill="1" applyBorder="1" applyAlignment="1">
      <alignment horizontal="center" vertical="center"/>
    </xf>
    <xf numFmtId="0" fontId="15" fillId="2" borderId="97" xfId="7" applyFont="1" applyFill="1" applyBorder="1" applyAlignment="1">
      <alignment horizontal="center" vertical="center"/>
    </xf>
    <xf numFmtId="3" fontId="20" fillId="2" borderId="97" xfId="7" applyNumberFormat="1" applyFont="1" applyFill="1" applyBorder="1" applyAlignment="1">
      <alignment horizontal="center" vertical="center"/>
    </xf>
    <xf numFmtId="3" fontId="20" fillId="2" borderId="139" xfId="7" applyNumberFormat="1" applyFont="1" applyFill="1" applyBorder="1" applyAlignment="1">
      <alignment horizontal="center" vertical="center"/>
    </xf>
    <xf numFmtId="0" fontId="15" fillId="2" borderId="37" xfId="7" applyFont="1" applyFill="1" applyBorder="1" applyAlignment="1">
      <alignment horizontal="center" vertical="center"/>
    </xf>
    <xf numFmtId="0" fontId="15" fillId="2" borderId="51" xfId="7" applyFont="1" applyFill="1" applyBorder="1" applyAlignment="1">
      <alignment horizontal="center" vertical="center"/>
    </xf>
    <xf numFmtId="0" fontId="15" fillId="2" borderId="38" xfId="7" applyFont="1" applyFill="1" applyBorder="1" applyAlignment="1">
      <alignment horizontal="center" vertical="center"/>
    </xf>
    <xf numFmtId="169" fontId="15" fillId="0" borderId="103" xfId="8" applyNumberFormat="1" applyFont="1" applyBorder="1" applyAlignment="1" applyProtection="1">
      <alignment horizontal="center" vertical="center"/>
      <protection locked="0"/>
    </xf>
    <xf numFmtId="170" fontId="25" fillId="0" borderId="0" xfId="8" applyNumberFormat="1" applyFont="1" applyAlignment="1" applyProtection="1">
      <alignment horizontal="center" vertical="center"/>
    </xf>
    <xf numFmtId="0" fontId="15" fillId="2" borderId="25" xfId="7" applyFont="1" applyFill="1" applyBorder="1" applyAlignment="1">
      <alignment horizontal="center" vertical="center"/>
    </xf>
    <xf numFmtId="0" fontId="15" fillId="2" borderId="58" xfId="7" applyFont="1" applyFill="1" applyBorder="1" applyAlignment="1">
      <alignment horizontal="center" vertical="center"/>
    </xf>
    <xf numFmtId="0" fontId="15" fillId="2" borderId="26" xfId="7" applyFont="1" applyFill="1" applyBorder="1" applyAlignment="1">
      <alignment horizontal="center" vertical="center"/>
    </xf>
    <xf numFmtId="169" fontId="15" fillId="0" borderId="127" xfId="7" applyNumberFormat="1" applyFont="1" applyBorder="1" applyAlignment="1" applyProtection="1">
      <alignment horizontal="center" vertical="center"/>
      <protection locked="0"/>
    </xf>
    <xf numFmtId="0" fontId="15" fillId="2" borderId="19" xfId="7" applyFont="1" applyFill="1" applyBorder="1" applyAlignment="1">
      <alignment horizontal="center" vertical="center"/>
    </xf>
    <xf numFmtId="0" fontId="15" fillId="2" borderId="28" xfId="7" applyFont="1" applyFill="1" applyBorder="1" applyAlignment="1">
      <alignment horizontal="center" vertical="center"/>
    </xf>
    <xf numFmtId="0" fontId="15" fillId="2" borderId="20" xfId="7" applyFont="1" applyFill="1" applyBorder="1" applyAlignment="1">
      <alignment horizontal="center" vertical="center"/>
    </xf>
    <xf numFmtId="169" fontId="15" fillId="0" borderId="133" xfId="7" applyNumberFormat="1" applyFont="1" applyBorder="1" applyAlignment="1" applyProtection="1">
      <alignment horizontal="center" vertical="center"/>
      <protection locked="0"/>
    </xf>
    <xf numFmtId="0" fontId="10" fillId="2" borderId="22" xfId="7" applyFont="1" applyFill="1" applyBorder="1" applyAlignment="1">
      <alignment horizontal="center" vertical="center"/>
    </xf>
    <xf numFmtId="0" fontId="10" fillId="2" borderId="55" xfId="7" applyFont="1" applyFill="1" applyBorder="1" applyAlignment="1">
      <alignment horizontal="right" vertical="center"/>
    </xf>
    <xf numFmtId="0" fontId="10" fillId="2" borderId="23" xfId="7" applyFont="1" applyFill="1" applyBorder="1" applyAlignment="1">
      <alignment horizontal="center" vertical="center"/>
    </xf>
    <xf numFmtId="169" fontId="10" fillId="0" borderId="109" xfId="7" applyNumberFormat="1" applyFont="1" applyBorder="1" applyAlignment="1" applyProtection="1">
      <alignment horizontal="right" vertical="center"/>
      <protection locked="0"/>
    </xf>
    <xf numFmtId="0" fontId="25" fillId="0" borderId="0" xfId="7" applyFont="1" applyAlignment="1">
      <alignment horizontal="right" vertical="center"/>
    </xf>
    <xf numFmtId="0" fontId="20" fillId="2" borderId="25" xfId="7" applyFont="1" applyFill="1" applyBorder="1" applyAlignment="1">
      <alignment horizontal="center" vertical="center"/>
    </xf>
    <xf numFmtId="0" fontId="20" fillId="2" borderId="58" xfId="7" applyFont="1" applyFill="1" applyBorder="1" applyAlignment="1">
      <alignment horizontal="right" vertical="center"/>
    </xf>
    <xf numFmtId="0" fontId="20" fillId="2" borderId="26" xfId="7" applyFont="1" applyFill="1" applyBorder="1" applyAlignment="1">
      <alignment horizontal="center" vertical="center"/>
    </xf>
    <xf numFmtId="169" fontId="20" fillId="0" borderId="127" xfId="7" applyNumberFormat="1" applyFont="1" applyBorder="1" applyAlignment="1" applyProtection="1">
      <alignment horizontal="right" vertical="center"/>
      <protection locked="0"/>
    </xf>
    <xf numFmtId="0" fontId="10" fillId="2" borderId="20" xfId="7" applyFont="1" applyFill="1" applyBorder="1" applyAlignment="1">
      <alignment horizontal="center" vertical="center"/>
    </xf>
    <xf numFmtId="169" fontId="15" fillId="2" borderId="133" xfId="7" applyNumberFormat="1" applyFont="1" applyFill="1" applyBorder="1" applyAlignment="1">
      <alignment horizontal="center" vertical="center"/>
    </xf>
    <xf numFmtId="0" fontId="15" fillId="2" borderId="22" xfId="7" applyFont="1" applyFill="1" applyBorder="1" applyAlignment="1">
      <alignment horizontal="center" vertical="center"/>
    </xf>
    <xf numFmtId="0" fontId="15" fillId="2" borderId="55" xfId="7" applyFont="1" applyFill="1" applyBorder="1" applyAlignment="1">
      <alignment horizontal="center" vertical="center"/>
    </xf>
    <xf numFmtId="0" fontId="15" fillId="2" borderId="23" xfId="7" applyFont="1" applyFill="1" applyBorder="1" applyAlignment="1">
      <alignment horizontal="center" vertical="center"/>
    </xf>
    <xf numFmtId="169" fontId="15" fillId="2" borderId="109" xfId="7" applyNumberFormat="1" applyFont="1" applyFill="1" applyBorder="1" applyAlignment="1">
      <alignment horizontal="center" vertical="center"/>
    </xf>
    <xf numFmtId="169" fontId="20" fillId="0" borderId="109" xfId="7" applyNumberFormat="1" applyFont="1" applyBorder="1" applyAlignment="1" applyProtection="1">
      <alignment horizontal="right" vertical="center"/>
      <protection locked="0"/>
    </xf>
    <xf numFmtId="0" fontId="25" fillId="0" borderId="0" xfId="7" applyFont="1" applyAlignment="1">
      <alignment vertical="center"/>
    </xf>
    <xf numFmtId="0" fontId="20" fillId="2" borderId="22" xfId="7" applyFont="1" applyFill="1" applyBorder="1" applyAlignment="1">
      <alignment horizontal="center" vertical="center"/>
    </xf>
    <xf numFmtId="0" fontId="20" fillId="2" borderId="55" xfId="7" applyFont="1" applyFill="1" applyBorder="1" applyAlignment="1">
      <alignment horizontal="right" vertical="center"/>
    </xf>
    <xf numFmtId="0" fontId="20" fillId="2" borderId="23" xfId="7" applyFont="1" applyFill="1" applyBorder="1" applyAlignment="1">
      <alignment horizontal="center" vertical="center"/>
    </xf>
    <xf numFmtId="169" fontId="25" fillId="0" borderId="0" xfId="7" applyNumberFormat="1" applyFont="1" applyAlignment="1">
      <alignment horizontal="center" vertical="center"/>
    </xf>
    <xf numFmtId="0" fontId="26" fillId="0" borderId="0" xfId="7" applyFont="1" applyAlignment="1">
      <alignment horizontal="right" vertical="center"/>
    </xf>
    <xf numFmtId="169" fontId="15" fillId="0" borderId="109" xfId="7" applyNumberFormat="1" applyFont="1" applyBorder="1" applyAlignment="1" applyProtection="1">
      <alignment horizontal="center" vertical="center"/>
      <protection locked="0"/>
    </xf>
    <xf numFmtId="0" fontId="15" fillId="2" borderId="13" xfId="7" applyFont="1" applyFill="1" applyBorder="1" applyAlignment="1">
      <alignment horizontal="center" vertical="center"/>
    </xf>
    <xf numFmtId="0" fontId="15" fillId="2" borderId="95" xfId="7" applyFont="1" applyFill="1" applyBorder="1" applyAlignment="1">
      <alignment horizontal="center" vertical="center"/>
    </xf>
    <xf numFmtId="0" fontId="15" fillId="2" borderId="14" xfId="7" applyFont="1" applyFill="1" applyBorder="1" applyAlignment="1">
      <alignment horizontal="center" vertical="center"/>
    </xf>
    <xf numFmtId="169" fontId="15" fillId="0" borderId="42" xfId="7" applyNumberFormat="1" applyFont="1" applyBorder="1" applyAlignment="1" applyProtection="1">
      <alignment horizontal="center" vertical="center"/>
      <protection locked="0"/>
    </xf>
    <xf numFmtId="0" fontId="46" fillId="0" borderId="0" xfId="7" applyAlignment="1">
      <alignment horizontal="center" vertical="center"/>
    </xf>
    <xf numFmtId="1" fontId="15" fillId="2" borderId="19" xfId="7" applyNumberFormat="1" applyFont="1" applyFill="1" applyBorder="1" applyAlignment="1">
      <alignment horizontal="center" vertical="center"/>
    </xf>
    <xf numFmtId="171" fontId="15" fillId="2" borderId="28" xfId="7" applyNumberFormat="1" applyFont="1" applyFill="1" applyBorder="1" applyAlignment="1">
      <alignment horizontal="center" vertical="center"/>
    </xf>
    <xf numFmtId="171" fontId="15" fillId="2" borderId="20" xfId="7" applyNumberFormat="1" applyFont="1" applyFill="1" applyBorder="1" applyAlignment="1">
      <alignment horizontal="center" vertical="center"/>
    </xf>
    <xf numFmtId="1" fontId="15" fillId="2" borderId="133" xfId="7" applyNumberFormat="1" applyFont="1" applyFill="1" applyBorder="1" applyAlignment="1">
      <alignment horizontal="center" vertical="center"/>
    </xf>
    <xf numFmtId="16" fontId="10" fillId="2" borderId="22" xfId="7" applyNumberFormat="1" applyFont="1" applyFill="1" applyBorder="1" applyAlignment="1">
      <alignment horizontal="center" vertical="center"/>
    </xf>
    <xf numFmtId="171" fontId="10" fillId="2" borderId="109" xfId="7" applyNumberFormat="1" applyFont="1" applyFill="1" applyBorder="1" applyAlignment="1">
      <alignment horizontal="center" vertical="center"/>
    </xf>
    <xf numFmtId="169" fontId="46" fillId="0" borderId="0" xfId="7" applyNumberFormat="1" applyAlignment="1">
      <alignment horizontal="center" vertical="center"/>
    </xf>
    <xf numFmtId="1" fontId="10" fillId="2" borderId="109" xfId="7" applyNumberFormat="1" applyFont="1" applyFill="1" applyBorder="1" applyAlignment="1">
      <alignment horizontal="center" vertical="center"/>
    </xf>
    <xf numFmtId="1" fontId="20" fillId="2" borderId="109" xfId="7" applyNumberFormat="1" applyFont="1" applyFill="1" applyBorder="1" applyAlignment="1">
      <alignment horizontal="center" vertical="center"/>
    </xf>
    <xf numFmtId="0" fontId="20" fillId="2" borderId="93" xfId="7" applyFont="1" applyFill="1" applyBorder="1" applyAlignment="1">
      <alignment horizontal="right" vertical="center"/>
    </xf>
    <xf numFmtId="0" fontId="20" fillId="2" borderId="34" xfId="7" applyFont="1" applyFill="1" applyBorder="1" applyAlignment="1">
      <alignment horizontal="center" vertical="center"/>
    </xf>
    <xf numFmtId="1" fontId="20" fillId="2" borderId="129" xfId="7" applyNumberFormat="1" applyFont="1" applyFill="1" applyBorder="1" applyAlignment="1">
      <alignment horizontal="center" vertical="center"/>
    </xf>
    <xf numFmtId="169" fontId="10" fillId="0" borderId="109" xfId="7" applyNumberFormat="1" applyFont="1" applyBorder="1" applyAlignment="1" applyProtection="1">
      <alignment horizontal="center" vertical="center"/>
      <protection locked="0"/>
    </xf>
    <xf numFmtId="0" fontId="10" fillId="2" borderId="51" xfId="7"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9" fontId="15" fillId="2" borderId="14" xfId="0" applyNumberFormat="1" applyFont="1" applyFill="1" applyBorder="1" applyAlignment="1">
      <alignment horizontal="center" vertical="center"/>
    </xf>
    <xf numFmtId="169" fontId="15" fillId="0" borderId="15" xfId="0" applyNumberFormat="1" applyFont="1" applyBorder="1" applyAlignment="1" applyProtection="1">
      <alignment horizontal="center" vertical="center"/>
      <protection locked="0"/>
    </xf>
    <xf numFmtId="0" fontId="27" fillId="0" borderId="0" xfId="7" applyFont="1" applyAlignment="1">
      <alignment horizontal="left" vertical="center" wrapText="1"/>
    </xf>
    <xf numFmtId="0" fontId="15" fillId="2" borderId="112" xfId="7" applyFont="1" applyFill="1" applyBorder="1" applyAlignment="1">
      <alignment horizontal="center" vertical="center"/>
    </xf>
    <xf numFmtId="0" fontId="15" fillId="2" borderId="119" xfId="7" applyFont="1" applyFill="1" applyBorder="1" applyAlignment="1">
      <alignment horizontal="center" vertical="center"/>
    </xf>
    <xf numFmtId="169" fontId="15" fillId="0" borderId="111" xfId="7" applyNumberFormat="1" applyFont="1" applyBorder="1" applyAlignment="1" applyProtection="1">
      <alignment horizontal="center" vertical="center"/>
      <protection locked="0"/>
    </xf>
    <xf numFmtId="0" fontId="27" fillId="0" borderId="0" xfId="7" applyFont="1" applyAlignment="1">
      <alignment horizontal="left" vertical="center"/>
    </xf>
    <xf numFmtId="0" fontId="15" fillId="2" borderId="16" xfId="7" applyFont="1" applyFill="1" applyBorder="1" applyAlignment="1">
      <alignment horizontal="center" vertical="center"/>
    </xf>
    <xf numFmtId="0" fontId="15" fillId="2" borderId="140" xfId="7" applyFont="1" applyFill="1" applyBorder="1" applyAlignment="1">
      <alignment horizontal="center" vertical="center" wrapText="1"/>
    </xf>
    <xf numFmtId="0" fontId="15" fillId="2" borderId="17" xfId="7" applyFont="1" applyFill="1" applyBorder="1" applyAlignment="1">
      <alignment horizontal="center" vertical="center"/>
    </xf>
    <xf numFmtId="169" fontId="15" fillId="2" borderId="132" xfId="7" applyNumberFormat="1" applyFont="1" applyFill="1" applyBorder="1" applyAlignment="1">
      <alignment horizontal="center" vertical="center"/>
    </xf>
    <xf numFmtId="0" fontId="10" fillId="2" borderId="55" xfId="7" applyFont="1" applyFill="1" applyBorder="1" applyAlignment="1">
      <alignment horizontal="center" vertical="center"/>
    </xf>
    <xf numFmtId="0" fontId="10" fillId="2" borderId="25" xfId="7" applyFont="1" applyFill="1" applyBorder="1" applyAlignment="1">
      <alignment horizontal="center" vertical="center"/>
    </xf>
    <xf numFmtId="0" fontId="10" fillId="2" borderId="58" xfId="7" applyFont="1" applyFill="1" applyBorder="1" applyAlignment="1">
      <alignment horizontal="center" vertical="center"/>
    </xf>
    <xf numFmtId="169" fontId="10" fillId="0" borderId="127" xfId="7" applyNumberFormat="1" applyFont="1" applyBorder="1" applyAlignment="1" applyProtection="1">
      <alignment horizontal="center" vertical="center"/>
      <protection locked="0"/>
    </xf>
    <xf numFmtId="169" fontId="10" fillId="2" borderId="109" xfId="7" applyNumberFormat="1" applyFont="1" applyFill="1" applyBorder="1" applyAlignment="1">
      <alignment horizontal="center" vertical="center"/>
    </xf>
    <xf numFmtId="0" fontId="20" fillId="2" borderId="58" xfId="7" applyFont="1" applyFill="1" applyBorder="1" applyAlignment="1">
      <alignment horizontal="right" vertical="center" wrapText="1"/>
    </xf>
    <xf numFmtId="169" fontId="20" fillId="0" borderId="127" xfId="7" applyNumberFormat="1" applyFont="1" applyBorder="1" applyAlignment="1" applyProtection="1">
      <alignment horizontal="center" vertical="center"/>
      <protection locked="0"/>
    </xf>
    <xf numFmtId="0" fontId="15" fillId="2" borderId="28" xfId="7" applyFont="1" applyFill="1" applyBorder="1" applyAlignment="1">
      <alignment horizontal="center" vertical="center" wrapText="1"/>
    </xf>
    <xf numFmtId="0" fontId="10" fillId="2" borderId="37" xfId="7" applyFont="1" applyFill="1" applyBorder="1" applyAlignment="1">
      <alignment horizontal="center" vertical="center"/>
    </xf>
    <xf numFmtId="0" fontId="10" fillId="2" borderId="51" xfId="7" applyFont="1" applyFill="1" applyBorder="1" applyAlignment="1">
      <alignment horizontal="center" vertical="center" wrapText="1"/>
    </xf>
    <xf numFmtId="169" fontId="10" fillId="0" borderId="103" xfId="7" applyNumberFormat="1" applyFont="1" applyBorder="1" applyAlignment="1" applyProtection="1">
      <alignment horizontal="center" vertical="center"/>
      <protection locked="0"/>
    </xf>
    <xf numFmtId="0" fontId="10" fillId="2" borderId="112" xfId="7" applyFont="1" applyFill="1" applyBorder="1" applyAlignment="1">
      <alignment horizontal="center" vertical="center"/>
    </xf>
    <xf numFmtId="0" fontId="10" fillId="2" borderId="119" xfId="7" applyFont="1" applyFill="1" applyBorder="1" applyAlignment="1">
      <alignment horizontal="center" vertical="center" wrapText="1"/>
    </xf>
    <xf numFmtId="0" fontId="10" fillId="2" borderId="26" xfId="7" applyFont="1" applyFill="1" applyBorder="1" applyAlignment="1">
      <alignment horizontal="center" vertical="center"/>
    </xf>
    <xf numFmtId="169" fontId="10" fillId="0" borderId="111" xfId="7" applyNumberFormat="1" applyFont="1" applyBorder="1" applyAlignment="1" applyProtection="1">
      <alignment horizontal="center" vertical="center"/>
      <protection locked="0"/>
    </xf>
    <xf numFmtId="0" fontId="15" fillId="2" borderId="63" xfId="7" applyFont="1" applyFill="1" applyBorder="1" applyAlignment="1">
      <alignment horizontal="center" vertical="center"/>
    </xf>
    <xf numFmtId="0" fontId="15" fillId="2" borderId="141" xfId="7" applyFont="1" applyFill="1" applyBorder="1" applyAlignment="1">
      <alignment horizontal="center" vertical="center"/>
    </xf>
    <xf numFmtId="171" fontId="15" fillId="2" borderId="64" xfId="7" applyNumberFormat="1" applyFont="1" applyFill="1" applyBorder="1" applyAlignment="1">
      <alignment horizontal="center" vertical="center"/>
    </xf>
    <xf numFmtId="1" fontId="15" fillId="2" borderId="142" xfId="7" applyNumberFormat="1" applyFont="1" applyFill="1" applyBorder="1" applyAlignment="1">
      <alignment horizontal="center" vertical="center"/>
    </xf>
    <xf numFmtId="0" fontId="15" fillId="2" borderId="13" xfId="7" applyFont="1" applyFill="1" applyBorder="1" applyAlignment="1">
      <alignment horizontal="center" vertical="center" wrapText="1"/>
    </xf>
    <xf numFmtId="0" fontId="15" fillId="2" borderId="14" xfId="7" applyFont="1" applyFill="1" applyBorder="1" applyAlignment="1">
      <alignment horizontal="center" vertical="center" wrapText="1"/>
    </xf>
    <xf numFmtId="2" fontId="15" fillId="2" borderId="15" xfId="7" applyNumberFormat="1"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14" xfId="7" applyFont="1" applyFill="1" applyBorder="1" applyAlignment="1">
      <alignment horizontal="center" vertical="center" wrapText="1"/>
    </xf>
    <xf numFmtId="2" fontId="10" fillId="2" borderId="15" xfId="7" applyNumberFormat="1" applyFont="1" applyFill="1" applyBorder="1" applyAlignment="1">
      <alignment horizontal="center" vertical="center" wrapText="1"/>
    </xf>
    <xf numFmtId="0" fontId="15" fillId="2" borderId="63" xfId="7" applyFont="1" applyFill="1" applyBorder="1" applyAlignment="1">
      <alignment horizontal="center" vertical="center" wrapText="1"/>
    </xf>
    <xf numFmtId="0" fontId="15" fillId="2" borderId="64" xfId="7" applyFont="1" applyFill="1" applyBorder="1" applyAlignment="1">
      <alignment horizontal="center" vertical="center" wrapText="1"/>
    </xf>
    <xf numFmtId="2" fontId="15" fillId="2" borderId="43" xfId="7" applyNumberFormat="1" applyFont="1" applyFill="1" applyBorder="1" applyAlignment="1">
      <alignment horizontal="center" vertical="center" wrapText="1"/>
    </xf>
    <xf numFmtId="3" fontId="10" fillId="0" borderId="27" xfId="7" applyNumberFormat="1" applyFont="1" applyBorder="1" applyAlignment="1" applyProtection="1">
      <alignment horizontal="center" vertical="center"/>
      <protection locked="0"/>
    </xf>
    <xf numFmtId="0" fontId="10" fillId="2" borderId="14" xfId="7" applyFont="1" applyFill="1" applyBorder="1" applyAlignment="1">
      <alignment horizontal="center" vertical="center"/>
    </xf>
    <xf numFmtId="3" fontId="10" fillId="0" borderId="15" xfId="7" applyNumberFormat="1" applyFont="1" applyBorder="1" applyAlignment="1" applyProtection="1">
      <alignment horizontal="center" vertical="center"/>
      <protection locked="0"/>
    </xf>
    <xf numFmtId="3" fontId="15" fillId="2" borderId="21" xfId="7" applyNumberFormat="1" applyFont="1" applyFill="1" applyBorder="1" applyAlignment="1">
      <alignment horizontal="center" vertical="center"/>
    </xf>
    <xf numFmtId="3" fontId="10" fillId="2" borderId="24" xfId="7" applyNumberFormat="1" applyFont="1" applyFill="1" applyBorder="1" applyAlignment="1">
      <alignment horizontal="center" vertical="center"/>
    </xf>
    <xf numFmtId="0" fontId="20" fillId="2" borderId="23" xfId="7" applyFont="1" applyFill="1" applyBorder="1" applyAlignment="1">
      <alignment horizontal="right" vertical="center"/>
    </xf>
    <xf numFmtId="3" fontId="20" fillId="0" borderId="24" xfId="7" applyNumberFormat="1" applyFont="1" applyBorder="1" applyAlignment="1" applyProtection="1">
      <alignment horizontal="center" vertical="center"/>
      <protection locked="0"/>
    </xf>
    <xf numFmtId="3" fontId="10" fillId="0" borderId="24" xfId="7" applyNumberFormat="1" applyFont="1" applyBorder="1" applyAlignment="1" applyProtection="1">
      <alignment horizontal="center" vertical="center"/>
      <protection locked="0"/>
    </xf>
    <xf numFmtId="0" fontId="28" fillId="0" borderId="0" xfId="7" applyFont="1"/>
    <xf numFmtId="0" fontId="10" fillId="2" borderId="113" xfId="7" applyFont="1" applyFill="1" applyBorder="1" applyAlignment="1">
      <alignment horizontal="center" vertical="center" wrapText="1"/>
    </xf>
    <xf numFmtId="0" fontId="10" fillId="2" borderId="113" xfId="7" applyFont="1" applyFill="1" applyBorder="1" applyAlignment="1">
      <alignment horizontal="center" vertical="center"/>
    </xf>
    <xf numFmtId="3" fontId="10" fillId="0" borderId="120" xfId="7" applyNumberFormat="1" applyFont="1" applyBorder="1" applyAlignment="1" applyProtection="1">
      <alignment horizontal="center" vertical="center"/>
      <protection locked="0"/>
    </xf>
    <xf numFmtId="0" fontId="10" fillId="2" borderId="39" xfId="7" applyFont="1" applyFill="1" applyBorder="1" applyAlignment="1">
      <alignment horizontal="center" vertical="center"/>
    </xf>
    <xf numFmtId="0" fontId="10" fillId="2" borderId="34" xfId="7" applyFont="1" applyFill="1" applyBorder="1" applyAlignment="1">
      <alignment horizontal="center" vertical="center" wrapText="1"/>
    </xf>
    <xf numFmtId="0" fontId="10" fillId="2" borderId="34" xfId="7" applyFont="1" applyFill="1" applyBorder="1" applyAlignment="1">
      <alignment horizontal="center" vertical="center"/>
    </xf>
    <xf numFmtId="3" fontId="10" fillId="0" borderId="35" xfId="7" applyNumberFormat="1" applyFont="1" applyBorder="1" applyAlignment="1" applyProtection="1">
      <alignment horizontal="center" vertical="center"/>
      <protection locked="0"/>
    </xf>
    <xf numFmtId="3" fontId="29" fillId="2" borderId="21" xfId="7" applyNumberFormat="1" applyFont="1" applyFill="1" applyBorder="1" applyAlignment="1">
      <alignment horizontal="center" vertical="center"/>
    </xf>
    <xf numFmtId="0" fontId="15" fillId="2" borderId="20" xfId="7" applyFont="1" applyFill="1" applyBorder="1" applyAlignment="1">
      <alignment horizontal="center" vertical="center" wrapText="1"/>
    </xf>
    <xf numFmtId="3" fontId="10" fillId="2" borderId="21" xfId="7" applyNumberFormat="1" applyFont="1" applyFill="1" applyBorder="1" applyAlignment="1">
      <alignment horizontal="center" vertical="center"/>
    </xf>
    <xf numFmtId="0" fontId="10" fillId="2" borderId="38" xfId="7" applyFont="1" applyFill="1" applyBorder="1" applyAlignment="1">
      <alignment horizontal="center" vertical="center"/>
    </xf>
    <xf numFmtId="3" fontId="10" fillId="0" borderId="31" xfId="7" applyNumberFormat="1" applyFont="1" applyBorder="1" applyAlignment="1" applyProtection="1">
      <alignment horizontal="center" vertical="center"/>
      <protection locked="0"/>
    </xf>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3" fontId="15" fillId="2" borderId="42"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3" xfId="0" applyFont="1" applyFill="1" applyBorder="1" applyAlignment="1">
      <alignment horizontal="center" vertical="center" wrapText="1"/>
    </xf>
    <xf numFmtId="3" fontId="15" fillId="2" borderId="44" xfId="0" applyNumberFormat="1"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2" xfId="0" applyFont="1" applyFill="1" applyBorder="1" applyAlignment="1">
      <alignment horizontal="center" vertical="center" wrapText="1"/>
    </xf>
    <xf numFmtId="3" fontId="5" fillId="0" borderId="0" xfId="0" applyNumberFormat="1" applyFont="1"/>
    <xf numFmtId="4" fontId="15" fillId="2" borderId="96" xfId="0" applyNumberFormat="1" applyFont="1" applyFill="1" applyBorder="1" applyAlignment="1">
      <alignment horizontal="center" vertical="center" wrapText="1"/>
    </xf>
    <xf numFmtId="4" fontId="15" fillId="2" borderId="139"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97"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4" fontId="15" fillId="2" borderId="100" xfId="0" applyNumberFormat="1" applyFont="1" applyFill="1" applyBorder="1" applyAlignment="1">
      <alignment horizontal="center" vertical="center" wrapText="1"/>
    </xf>
    <xf numFmtId="4" fontId="15" fillId="2" borderId="103" xfId="0" applyNumberFormat="1" applyFont="1" applyFill="1" applyBorder="1" applyAlignment="1">
      <alignment horizontal="center" vertical="center" wrapText="1"/>
    </xf>
    <xf numFmtId="4" fontId="15" fillId="2" borderId="101"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wrapText="1"/>
    </xf>
    <xf numFmtId="4" fontId="10" fillId="2" borderId="101" xfId="0" applyNumberFormat="1" applyFont="1" applyFill="1" applyBorder="1" applyAlignment="1">
      <alignment horizontal="center" vertical="center" wrapText="1"/>
    </xf>
    <xf numFmtId="4" fontId="15" fillId="2" borderId="103" xfId="0" applyNumberFormat="1" applyFont="1" applyFill="1" applyBorder="1" applyAlignment="1">
      <alignment horizontal="center" vertical="center"/>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0" fillId="2" borderId="31" xfId="0" applyNumberFormat="1" applyFont="1" applyFill="1" applyBorder="1" applyAlignment="1">
      <alignment horizontal="center" vertical="center"/>
    </xf>
    <xf numFmtId="4" fontId="10" fillId="2" borderId="101" xfId="0" applyNumberFormat="1" applyFont="1" applyFill="1" applyBorder="1" applyAlignment="1">
      <alignment horizontal="center" vertical="center"/>
    </xf>
    <xf numFmtId="4" fontId="10" fillId="2" borderId="52" xfId="0" applyNumberFormat="1" applyFont="1" applyFill="1" applyBorder="1" applyAlignment="1">
      <alignment horizontal="center" vertical="center"/>
    </xf>
    <xf numFmtId="4" fontId="10" fillId="2" borderId="103" xfId="0" applyNumberFormat="1" applyFont="1" applyFill="1" applyBorder="1" applyAlignment="1">
      <alignment horizontal="center" vertical="center"/>
    </xf>
    <xf numFmtId="4" fontId="15" fillId="2" borderId="81" xfId="0" applyNumberFormat="1" applyFont="1" applyFill="1" applyBorder="1" applyAlignment="1">
      <alignment horizontal="center" vertical="center" wrapText="1"/>
    </xf>
    <xf numFmtId="4" fontId="15" fillId="2" borderId="109"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24" xfId="0" applyNumberFormat="1" applyFont="1" applyFill="1" applyBorder="1" applyAlignment="1">
      <alignment horizontal="center" vertical="center"/>
    </xf>
    <xf numFmtId="4" fontId="15" fillId="2" borderId="6" xfId="0" applyNumberFormat="1" applyFont="1" applyFill="1" applyBorder="1" applyAlignment="1">
      <alignment horizontal="center" vertical="center"/>
    </xf>
    <xf numFmtId="4" fontId="15" fillId="2" borderId="106"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0" fontId="20" fillId="2" borderId="7" xfId="0" applyFont="1" applyFill="1" applyBorder="1" applyAlignment="1">
      <alignment horizontal="center" vertical="center"/>
    </xf>
    <xf numFmtId="4" fontId="15" fillId="2" borderId="82" xfId="0" applyNumberFormat="1" applyFont="1" applyFill="1" applyBorder="1" applyAlignment="1">
      <alignment horizontal="center" vertical="center" wrapText="1"/>
    </xf>
    <xf numFmtId="4" fontId="15" fillId="2" borderId="127" xfId="0" applyNumberFormat="1" applyFont="1" applyFill="1" applyBorder="1" applyAlignment="1">
      <alignment horizontal="center" vertical="center"/>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0" fillId="2" borderId="77"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2" borderId="127" xfId="0" applyNumberFormat="1" applyFont="1" applyFill="1" applyBorder="1" applyAlignment="1">
      <alignment horizontal="center" vertical="center"/>
    </xf>
    <xf numFmtId="4" fontId="10" fillId="2" borderId="106" xfId="0" applyNumberFormat="1" applyFont="1" applyFill="1" applyBorder="1" applyAlignment="1">
      <alignment horizontal="center" vertical="center"/>
    </xf>
    <xf numFmtId="4" fontId="10" fillId="2" borderId="109" xfId="0" applyNumberFormat="1" applyFont="1" applyFill="1" applyBorder="1" applyAlignment="1">
      <alignment horizontal="center" vertical="center"/>
    </xf>
    <xf numFmtId="0" fontId="15" fillId="2" borderId="6" xfId="0" applyFont="1" applyFill="1" applyBorder="1" applyAlignment="1">
      <alignment horizontal="center" vertical="center"/>
    </xf>
    <xf numFmtId="0" fontId="20" fillId="2" borderId="6" xfId="0" applyFont="1" applyFill="1" applyBorder="1" applyAlignment="1">
      <alignment horizontal="center" vertical="center"/>
    </xf>
    <xf numFmtId="0" fontId="20" fillId="0" borderId="7" xfId="0" applyFont="1" applyFill="1" applyBorder="1" applyAlignment="1" applyProtection="1">
      <alignment horizontal="right" wrapText="1"/>
      <protection locked="0"/>
    </xf>
    <xf numFmtId="0" fontId="20" fillId="2" borderId="57" xfId="0" applyFont="1" applyFill="1" applyBorder="1" applyAlignment="1">
      <alignment horizontal="center" vertical="center"/>
    </xf>
    <xf numFmtId="4" fontId="15" fillId="2" borderId="110" xfId="0" applyNumberFormat="1" applyFont="1" applyFill="1" applyBorder="1" applyAlignment="1">
      <alignment horizontal="center" vertical="center" wrapText="1"/>
    </xf>
    <xf numFmtId="4" fontId="10" fillId="2" borderId="111" xfId="0" applyNumberFormat="1" applyFont="1" applyFill="1" applyBorder="1" applyAlignment="1">
      <alignment horizontal="center" vertical="center"/>
    </xf>
    <xf numFmtId="4" fontId="15" fillId="2" borderId="111" xfId="0" applyNumberFormat="1" applyFont="1" applyFill="1" applyBorder="1" applyAlignment="1">
      <alignment horizontal="center" vertical="center"/>
    </xf>
    <xf numFmtId="4" fontId="10" fillId="2" borderId="112" xfId="0" applyNumberFormat="1" applyFont="1" applyFill="1" applyBorder="1" applyAlignment="1">
      <alignment horizontal="center" vertical="center"/>
    </xf>
    <xf numFmtId="4" fontId="10" fillId="2" borderId="113" xfId="0" applyNumberFormat="1" applyFont="1" applyFill="1" applyBorder="1" applyAlignment="1">
      <alignment horizontal="center" vertical="center"/>
    </xf>
    <xf numFmtId="4" fontId="10" fillId="2" borderId="120"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83" xfId="0" applyNumberFormat="1" applyFont="1" applyFill="1" applyBorder="1" applyAlignment="1">
      <alignment horizontal="center" vertical="center"/>
    </xf>
    <xf numFmtId="4" fontId="10" fillId="0" borderId="103" xfId="0" applyNumberFormat="1" applyFont="1" applyBorder="1" applyAlignment="1" applyProtection="1">
      <alignment horizontal="center" vertical="center" wrapText="1"/>
      <protection locked="0"/>
    </xf>
    <xf numFmtId="4" fontId="15" fillId="0" borderId="52" xfId="0" applyNumberFormat="1" applyFont="1" applyBorder="1" applyAlignment="1" applyProtection="1">
      <alignment horizontal="center" vertical="center" wrapText="1"/>
      <protection locked="0"/>
    </xf>
    <xf numFmtId="4" fontId="15" fillId="0" borderId="103" xfId="0" applyNumberFormat="1" applyFont="1" applyBorder="1" applyAlignment="1" applyProtection="1">
      <alignment horizontal="center" vertical="center" wrapText="1"/>
      <protection locked="0"/>
    </xf>
    <xf numFmtId="4" fontId="10" fillId="0" borderId="111" xfId="0" applyNumberFormat="1" applyFont="1" applyBorder="1" applyAlignment="1" applyProtection="1">
      <alignment horizontal="center" vertical="center" wrapText="1"/>
      <protection locked="0"/>
    </xf>
    <xf numFmtId="4" fontId="15" fillId="2" borderId="111" xfId="0" applyNumberFormat="1" applyFont="1" applyFill="1" applyBorder="1" applyAlignment="1">
      <alignment horizontal="center" vertical="center" wrapText="1"/>
    </xf>
    <xf numFmtId="4" fontId="10" fillId="0" borderId="112" xfId="0" applyNumberFormat="1" applyFont="1" applyBorder="1" applyAlignment="1" applyProtection="1">
      <alignment horizontal="center" vertical="center" wrapText="1"/>
      <protection locked="0"/>
    </xf>
    <xf numFmtId="4" fontId="10" fillId="0" borderId="113" xfId="0" applyNumberFormat="1" applyFont="1" applyBorder="1" applyAlignment="1" applyProtection="1">
      <alignment horizontal="center" vertical="center" wrapText="1"/>
      <protection locked="0"/>
    </xf>
    <xf numFmtId="4" fontId="10" fillId="0" borderId="120"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0" borderId="83" xfId="0" applyNumberFormat="1" applyFont="1" applyBorder="1" applyAlignment="1" applyProtection="1">
      <alignment horizontal="center" vertical="center" wrapText="1"/>
      <protection locked="0"/>
    </xf>
    <xf numFmtId="4" fontId="15" fillId="0" borderId="111" xfId="0" applyNumberFormat="1" applyFont="1" applyBorder="1" applyAlignment="1" applyProtection="1">
      <alignment horizontal="center" vertical="center" wrapText="1"/>
      <protection locked="0"/>
    </xf>
    <xf numFmtId="0" fontId="20" fillId="2" borderId="10" xfId="0" applyFont="1" applyFill="1" applyBorder="1" applyAlignment="1">
      <alignment horizontal="center" vertical="center"/>
    </xf>
    <xf numFmtId="4" fontId="10" fillId="2" borderId="111" xfId="0" applyNumberFormat="1" applyFont="1" applyFill="1" applyBorder="1" applyAlignment="1">
      <alignment horizontal="center" vertical="center" wrapText="1"/>
    </xf>
    <xf numFmtId="4" fontId="10" fillId="2" borderId="112" xfId="0" applyNumberFormat="1" applyFont="1" applyFill="1" applyBorder="1" applyAlignment="1">
      <alignment horizontal="center" vertical="center" wrapText="1"/>
    </xf>
    <xf numFmtId="4" fontId="10" fillId="2" borderId="113" xfId="0" applyNumberFormat="1" applyFont="1" applyFill="1" applyBorder="1" applyAlignment="1">
      <alignment horizontal="center" vertical="center" wrapText="1"/>
    </xf>
    <xf numFmtId="4" fontId="10" fillId="2" borderId="120"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0" xfId="0" applyNumberFormat="1" applyFont="1" applyFill="1" applyAlignment="1">
      <alignment horizontal="center" vertical="center" wrapText="1"/>
    </xf>
    <xf numFmtId="4" fontId="10" fillId="2" borderId="83" xfId="0" applyNumberFormat="1"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9" xfId="0" applyFont="1" applyFill="1" applyBorder="1" applyAlignment="1">
      <alignment horizontal="left" vertical="center" wrapText="1"/>
    </xf>
    <xf numFmtId="2" fontId="10" fillId="0" borderId="103" xfId="0" applyNumberFormat="1" applyFont="1" applyBorder="1" applyAlignment="1" applyProtection="1">
      <alignment horizontal="center" vertical="center"/>
      <protection locked="0"/>
    </xf>
    <xf numFmtId="2" fontId="10" fillId="0" borderId="52"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2" fontId="10" fillId="0" borderId="109" xfId="0" applyNumberFormat="1" applyFont="1" applyBorder="1" applyAlignment="1" applyProtection="1">
      <alignment horizontal="center" vertical="center"/>
      <protection locked="0"/>
    </xf>
    <xf numFmtId="2" fontId="10" fillId="0" borderId="56" xfId="0" applyNumberFormat="1" applyFont="1" applyBorder="1" applyAlignment="1" applyProtection="1">
      <alignment horizontal="center" vertical="center"/>
      <protection locked="0"/>
    </xf>
    <xf numFmtId="0" fontId="10" fillId="2" borderId="7" xfId="0" applyFont="1" applyFill="1" applyBorder="1" applyAlignment="1">
      <alignment horizontal="left" vertical="center" wrapText="1"/>
    </xf>
    <xf numFmtId="2" fontId="10" fillId="0" borderId="127" xfId="0" applyNumberFormat="1" applyFont="1" applyBorder="1" applyAlignment="1" applyProtection="1">
      <alignment horizontal="center" vertical="center"/>
      <protection locked="0"/>
    </xf>
    <xf numFmtId="2" fontId="10" fillId="0" borderId="59" xfId="0" applyNumberFormat="1" applyFont="1" applyBorder="1" applyAlignment="1" applyProtection="1">
      <alignment horizontal="center" vertical="center"/>
      <protection locked="0"/>
    </xf>
    <xf numFmtId="0" fontId="10" fillId="2" borderId="71" xfId="0" applyFont="1" applyFill="1" applyBorder="1" applyAlignment="1">
      <alignment horizontal="center" vertical="center"/>
    </xf>
    <xf numFmtId="0" fontId="10" fillId="2" borderId="73" xfId="0" applyFont="1" applyFill="1" applyBorder="1" applyAlignment="1">
      <alignment horizontal="left" vertical="center" wrapText="1"/>
    </xf>
    <xf numFmtId="2" fontId="10" fillId="0" borderId="143" xfId="0" applyNumberFormat="1" applyFont="1" applyBorder="1" applyAlignment="1" applyProtection="1">
      <alignment horizontal="center" vertical="center"/>
      <protection locked="0"/>
    </xf>
    <xf numFmtId="2" fontId="15" fillId="2" borderId="143" xfId="0" applyNumberFormat="1" applyFont="1" applyFill="1" applyBorder="1" applyAlignment="1">
      <alignment horizontal="center" vertical="center"/>
    </xf>
    <xf numFmtId="2" fontId="10" fillId="0" borderId="72" xfId="0" applyNumberFormat="1" applyFont="1" applyBorder="1" applyAlignment="1" applyProtection="1">
      <alignment horizontal="center" vertical="center"/>
      <protection locked="0"/>
    </xf>
    <xf numFmtId="2" fontId="10" fillId="0" borderId="52" xfId="0" applyNumberFormat="1" applyFont="1" applyFill="1" applyBorder="1" applyAlignment="1" applyProtection="1">
      <alignment horizontal="center" vertical="center"/>
      <protection locked="0"/>
    </xf>
    <xf numFmtId="2" fontId="10" fillId="0" borderId="56" xfId="0" applyNumberFormat="1" applyFont="1" applyFill="1" applyBorder="1" applyAlignment="1" applyProtection="1">
      <alignment horizontal="center" vertical="center"/>
      <protection locked="0"/>
    </xf>
    <xf numFmtId="2" fontId="10" fillId="0" borderId="59" xfId="0" applyNumberFormat="1" applyFont="1" applyFill="1" applyBorder="1" applyAlignment="1" applyProtection="1">
      <alignment horizontal="center" vertical="center"/>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2" fontId="10" fillId="0" borderId="78" xfId="0" applyNumberFormat="1" applyFont="1" applyFill="1" applyBorder="1" applyAlignment="1" applyProtection="1">
      <alignment horizontal="center" vertical="center"/>
      <protection locked="0"/>
    </xf>
    <xf numFmtId="0" fontId="15" fillId="2" borderId="40" xfId="0" applyFont="1" applyFill="1" applyBorder="1" applyAlignment="1">
      <alignment horizontal="center" vertical="center"/>
    </xf>
    <xf numFmtId="0" fontId="29" fillId="0" borderId="0" xfId="1" applyFont="1"/>
    <xf numFmtId="0" fontId="46" fillId="0" borderId="4" xfId="9" applyBorder="1"/>
    <xf numFmtId="0" fontId="29" fillId="0" borderId="4" xfId="9" applyFont="1" applyBorder="1"/>
    <xf numFmtId="0" fontId="18" fillId="2" borderId="5" xfId="9" applyFont="1" applyFill="1" applyBorder="1" applyAlignment="1">
      <alignment horizontal="center" vertical="center"/>
    </xf>
    <xf numFmtId="0" fontId="15" fillId="2" borderId="44" xfId="9" applyFont="1" applyFill="1" applyBorder="1" applyAlignment="1">
      <alignment horizontal="center" vertical="center"/>
    </xf>
    <xf numFmtId="169" fontId="15" fillId="2" borderId="144" xfId="9" applyNumberFormat="1" applyFont="1" applyFill="1" applyBorder="1" applyAlignment="1">
      <alignment horizontal="center" vertical="center" wrapText="1"/>
    </xf>
    <xf numFmtId="3" fontId="15" fillId="2" borderId="15" xfId="9" applyNumberFormat="1" applyFont="1" applyFill="1" applyBorder="1" applyAlignment="1">
      <alignment horizontal="center" vertical="center" wrapText="1"/>
    </xf>
    <xf numFmtId="0" fontId="29" fillId="0" borderId="0" xfId="9" applyFont="1" applyAlignment="1">
      <alignment wrapText="1"/>
    </xf>
    <xf numFmtId="0" fontId="15" fillId="2" borderId="40" xfId="9" applyFont="1" applyFill="1" applyBorder="1" applyAlignment="1">
      <alignment horizontal="center" vertical="center"/>
    </xf>
    <xf numFmtId="0" fontId="15" fillId="2" borderId="42" xfId="9" applyFont="1" applyFill="1" applyBorder="1" applyAlignment="1">
      <alignment horizontal="center" vertical="center"/>
    </xf>
    <xf numFmtId="0" fontId="30" fillId="0" borderId="0" xfId="9" applyFont="1" applyAlignment="1">
      <alignment horizontal="center" vertical="center"/>
    </xf>
    <xf numFmtId="0" fontId="15" fillId="2" borderId="19" xfId="9" applyFont="1" applyFill="1" applyBorder="1" applyAlignment="1">
      <alignment horizontal="center" vertical="center"/>
    </xf>
    <xf numFmtId="0" fontId="15" fillId="2" borderId="20" xfId="9" applyFont="1" applyFill="1" applyBorder="1" applyAlignment="1">
      <alignment horizontal="center" vertical="center"/>
    </xf>
    <xf numFmtId="169" fontId="15" fillId="0" borderId="21" xfId="9" applyNumberFormat="1" applyFont="1" applyBorder="1" applyAlignment="1" applyProtection="1">
      <alignment horizontal="center" vertical="center"/>
      <protection locked="0"/>
    </xf>
    <xf numFmtId="0" fontId="31" fillId="0" borderId="0" xfId="9" applyFont="1" applyAlignment="1">
      <alignment horizontal="center" vertical="center"/>
    </xf>
    <xf numFmtId="0" fontId="15" fillId="2" borderId="22" xfId="9" applyFont="1" applyFill="1" applyBorder="1" applyAlignment="1">
      <alignment horizontal="center" vertical="center"/>
    </xf>
    <xf numFmtId="0" fontId="15" fillId="2" borderId="23" xfId="9" applyFont="1" applyFill="1" applyBorder="1" applyAlignment="1">
      <alignment horizontal="center" vertical="center"/>
    </xf>
    <xf numFmtId="0" fontId="15" fillId="2" borderId="38" xfId="9" applyFont="1" applyFill="1" applyBorder="1" applyAlignment="1">
      <alignment horizontal="center" vertical="center"/>
    </xf>
    <xf numFmtId="169" fontId="15" fillId="0" borderId="24" xfId="9" applyNumberFormat="1" applyFont="1" applyBorder="1" applyAlignment="1" applyProtection="1">
      <alignment horizontal="center" vertical="center"/>
      <protection locked="0"/>
    </xf>
    <xf numFmtId="0" fontId="32" fillId="0" borderId="0" xfId="9" applyFont="1" applyAlignment="1">
      <alignment horizontal="center" vertical="center"/>
    </xf>
    <xf numFmtId="0" fontId="10" fillId="2" borderId="22" xfId="9" applyFont="1" applyFill="1" applyBorder="1" applyAlignment="1">
      <alignment horizontal="center" vertical="center"/>
    </xf>
    <xf numFmtId="0" fontId="10" fillId="2" borderId="23" xfId="9" applyFont="1" applyFill="1" applyBorder="1" applyAlignment="1">
      <alignment horizontal="center" vertical="center"/>
    </xf>
    <xf numFmtId="169" fontId="10" fillId="0" borderId="24" xfId="9" applyNumberFormat="1" applyFont="1" applyBorder="1" applyAlignment="1" applyProtection="1">
      <alignment horizontal="center" vertical="center"/>
      <protection locked="0"/>
    </xf>
    <xf numFmtId="0" fontId="10" fillId="2" borderId="26" xfId="9" applyFont="1" applyFill="1" applyBorder="1" applyAlignment="1">
      <alignment horizontal="center" vertical="center"/>
    </xf>
    <xf numFmtId="0" fontId="10" fillId="2" borderId="39" xfId="9" applyFont="1" applyFill="1" applyBorder="1" applyAlignment="1">
      <alignment horizontal="center" vertical="center"/>
    </xf>
    <xf numFmtId="0" fontId="10" fillId="2" borderId="34" xfId="9" applyFont="1" applyFill="1" applyBorder="1" applyAlignment="1">
      <alignment horizontal="center" vertical="center"/>
    </xf>
    <xf numFmtId="169" fontId="10" fillId="0" borderId="35" xfId="9" applyNumberFormat="1" applyFont="1" applyBorder="1" applyAlignment="1" applyProtection="1">
      <alignment horizontal="center" vertical="center"/>
      <protection locked="0"/>
    </xf>
    <xf numFmtId="0" fontId="27" fillId="0" borderId="0" xfId="9" applyFont="1" applyAlignment="1">
      <alignment horizontal="center" vertical="center"/>
    </xf>
    <xf numFmtId="1" fontId="10" fillId="2" borderId="22" xfId="9" applyNumberFormat="1" applyFont="1" applyFill="1" applyBorder="1" applyAlignment="1">
      <alignment horizontal="center" vertical="center"/>
    </xf>
    <xf numFmtId="1" fontId="10" fillId="2" borderId="23" xfId="9" applyNumberFormat="1" applyFont="1" applyFill="1" applyBorder="1" applyAlignment="1">
      <alignment horizontal="right" vertical="center"/>
    </xf>
    <xf numFmtId="1" fontId="10" fillId="2" borderId="23" xfId="9" applyNumberFormat="1" applyFont="1" applyFill="1" applyBorder="1" applyAlignment="1">
      <alignment horizontal="center" vertical="center"/>
    </xf>
    <xf numFmtId="3" fontId="10" fillId="0" borderId="24" xfId="9" applyNumberFormat="1" applyFont="1" applyBorder="1" applyAlignment="1" applyProtection="1">
      <alignment horizontal="center" vertical="center"/>
      <protection locked="0"/>
    </xf>
    <xf numFmtId="1" fontId="31" fillId="0" borderId="0" xfId="9" applyNumberFormat="1" applyFont="1" applyAlignment="1">
      <alignment horizontal="center" vertical="center"/>
    </xf>
    <xf numFmtId="1" fontId="27" fillId="0" borderId="0" xfId="9" applyNumberFormat="1" applyFont="1" applyAlignment="1">
      <alignment horizontal="center" vertical="center"/>
    </xf>
    <xf numFmtId="0" fontId="10" fillId="2" borderId="23" xfId="9" applyFont="1" applyFill="1" applyBorder="1" applyAlignment="1">
      <alignment horizontal="right" vertical="center"/>
    </xf>
    <xf numFmtId="0" fontId="31" fillId="0" borderId="0" xfId="9" applyFont="1" applyAlignment="1">
      <alignment horizontal="right" vertical="center"/>
    </xf>
    <xf numFmtId="0" fontId="27" fillId="0" borderId="0" xfId="9" applyFont="1" applyAlignment="1">
      <alignment horizontal="right" vertical="center"/>
    </xf>
    <xf numFmtId="0" fontId="15" fillId="2" borderId="39" xfId="9" applyFont="1" applyFill="1" applyBorder="1" applyAlignment="1">
      <alignment horizontal="center" vertical="center"/>
    </xf>
    <xf numFmtId="0" fontId="15" fillId="2" borderId="34" xfId="9" applyFont="1" applyFill="1" applyBorder="1" applyAlignment="1">
      <alignment horizontal="right" vertical="center"/>
    </xf>
    <xf numFmtId="1" fontId="15" fillId="2" borderId="34" xfId="9" applyNumberFormat="1" applyFont="1" applyFill="1" applyBorder="1" applyAlignment="1">
      <alignment horizontal="center" vertical="center"/>
    </xf>
    <xf numFmtId="169" fontId="15" fillId="0" borderId="35" xfId="9" applyNumberFormat="1" applyFont="1" applyBorder="1" applyAlignment="1" applyProtection="1">
      <alignment horizontal="center" vertical="center"/>
      <protection locked="0"/>
    </xf>
    <xf numFmtId="0" fontId="15" fillId="2" borderId="23" xfId="9" applyFont="1" applyFill="1" applyBorder="1" applyAlignment="1">
      <alignment horizontal="right" vertical="center"/>
    </xf>
    <xf numFmtId="3" fontId="15" fillId="0" borderId="24" xfId="9" applyNumberFormat="1" applyFont="1" applyBorder="1" applyAlignment="1" applyProtection="1">
      <alignment horizontal="center" vertical="center"/>
      <protection locked="0"/>
    </xf>
    <xf numFmtId="169" fontId="33" fillId="0" borderId="0" xfId="9" applyNumberFormat="1" applyFont="1" applyAlignment="1">
      <alignment vertical="center"/>
    </xf>
    <xf numFmtId="169" fontId="27" fillId="0" borderId="0" xfId="9" applyNumberFormat="1" applyFont="1" applyAlignment="1">
      <alignment horizontal="center" vertical="center"/>
    </xf>
    <xf numFmtId="0" fontId="15" fillId="2" borderId="22" xfId="9" applyFont="1" applyFill="1" applyBorder="1" applyAlignment="1">
      <alignment horizontal="center" vertical="center" wrapText="1"/>
    </xf>
    <xf numFmtId="0" fontId="34" fillId="0" borderId="0" xfId="9" applyFont="1" applyAlignment="1">
      <alignment horizontal="left" vertical="center"/>
    </xf>
    <xf numFmtId="0" fontId="10" fillId="2" borderId="22" xfId="9" applyFont="1" applyFill="1" applyBorder="1" applyAlignment="1">
      <alignment horizontal="center" vertical="center" wrapText="1"/>
    </xf>
    <xf numFmtId="0" fontId="10" fillId="2" borderId="23" xfId="9" applyFont="1" applyFill="1" applyBorder="1" applyAlignment="1">
      <alignment horizontal="right" vertical="center" wrapText="1"/>
    </xf>
    <xf numFmtId="0" fontId="10" fillId="2" borderId="51" xfId="9" applyFont="1" applyFill="1" applyBorder="1" applyAlignment="1">
      <alignment horizontal="right" vertical="center"/>
    </xf>
    <xf numFmtId="0" fontId="35" fillId="0" borderId="0" xfId="9" applyFont="1" applyAlignment="1">
      <alignment horizontal="left" vertical="center"/>
    </xf>
    <xf numFmtId="0" fontId="15" fillId="2" borderId="51" xfId="9" applyFont="1" applyFill="1" applyBorder="1" applyAlignment="1">
      <alignment horizontal="right" vertical="center"/>
    </xf>
    <xf numFmtId="0" fontId="20" fillId="2" borderId="23" xfId="9" applyFont="1" applyFill="1" applyBorder="1" applyAlignment="1">
      <alignment horizontal="right" vertical="center"/>
    </xf>
    <xf numFmtId="0" fontId="20" fillId="2" borderId="23" xfId="9" applyFont="1" applyFill="1" applyBorder="1" applyAlignment="1">
      <alignment horizontal="center" vertical="center"/>
    </xf>
    <xf numFmtId="169" fontId="20" fillId="0" borderId="24" xfId="9" applyNumberFormat="1" applyFont="1" applyBorder="1" applyAlignment="1" applyProtection="1">
      <alignment horizontal="center" vertical="center"/>
      <protection locked="0"/>
    </xf>
    <xf numFmtId="0" fontId="36" fillId="0" borderId="0" xfId="9" applyFont="1" applyAlignment="1">
      <alignment horizontal="right" vertical="center"/>
    </xf>
    <xf numFmtId="1" fontId="15" fillId="2" borderId="23" xfId="9" applyNumberFormat="1" applyFont="1" applyFill="1" applyBorder="1" applyAlignment="1">
      <alignment horizontal="center" vertical="center"/>
    </xf>
    <xf numFmtId="0" fontId="37" fillId="0" borderId="0" xfId="0" applyFont="1"/>
    <xf numFmtId="0" fontId="10" fillId="2" borderId="38" xfId="9" applyFont="1" applyFill="1" applyBorder="1" applyAlignment="1">
      <alignment horizontal="center" vertical="center"/>
    </xf>
    <xf numFmtId="169" fontId="10" fillId="2" borderId="24" xfId="9" applyNumberFormat="1" applyFont="1" applyFill="1" applyBorder="1" applyAlignment="1">
      <alignment horizontal="center" vertical="center"/>
    </xf>
    <xf numFmtId="0" fontId="20" fillId="2" borderId="22" xfId="9" applyFont="1" applyFill="1" applyBorder="1" applyAlignment="1">
      <alignment horizontal="center" vertical="center"/>
    </xf>
    <xf numFmtId="3" fontId="10" fillId="2" borderId="24" xfId="9" applyNumberFormat="1" applyFont="1" applyFill="1" applyBorder="1" applyAlignment="1">
      <alignment horizontal="center" vertical="center"/>
    </xf>
    <xf numFmtId="3" fontId="20" fillId="0" borderId="24" xfId="9" applyNumberFormat="1" applyFont="1" applyBorder="1" applyAlignment="1" applyProtection="1">
      <alignment horizontal="center" vertical="center"/>
      <protection locked="0"/>
    </xf>
    <xf numFmtId="3" fontId="10" fillId="0" borderId="35" xfId="9" applyNumberFormat="1" applyFont="1" applyBorder="1" applyAlignment="1" applyProtection="1">
      <alignment horizontal="center" vertical="center"/>
      <protection locked="0"/>
    </xf>
    <xf numFmtId="0" fontId="38" fillId="0" borderId="0" xfId="9" applyFont="1" applyAlignment="1">
      <alignment horizontal="center" vertical="center"/>
    </xf>
    <xf numFmtId="0" fontId="39" fillId="0" borderId="0" xfId="9" applyFont="1" applyAlignment="1">
      <alignment horizontal="right" vertical="center"/>
    </xf>
    <xf numFmtId="0" fontId="32" fillId="0" borderId="0" xfId="9" applyFont="1" applyAlignment="1">
      <alignment horizontal="right" vertical="center"/>
    </xf>
    <xf numFmtId="0" fontId="10" fillId="2" borderId="105" xfId="9" applyFont="1" applyFill="1" applyBorder="1" applyAlignment="1">
      <alignment horizontal="right" vertical="center"/>
    </xf>
    <xf numFmtId="3" fontId="10" fillId="0" borderId="31" xfId="9" applyNumberFormat="1" applyFont="1" applyBorder="1" applyAlignment="1" applyProtection="1">
      <alignment horizontal="center" vertical="center"/>
      <protection locked="0"/>
    </xf>
    <xf numFmtId="0" fontId="10" fillId="2" borderId="108" xfId="9" applyFont="1" applyFill="1" applyBorder="1" applyAlignment="1">
      <alignment horizontal="right" vertical="center"/>
    </xf>
    <xf numFmtId="0" fontId="10" fillId="2" borderId="108" xfId="9" applyFont="1" applyFill="1" applyBorder="1" applyAlignment="1">
      <alignment horizontal="center" vertical="center"/>
    </xf>
    <xf numFmtId="0" fontId="40" fillId="0" borderId="0" xfId="9" applyFont="1" applyAlignment="1">
      <alignment vertical="center"/>
    </xf>
    <xf numFmtId="0" fontId="10" fillId="2" borderId="25" xfId="9" applyFont="1" applyFill="1" applyBorder="1" applyAlignment="1">
      <alignment horizontal="center" vertical="center"/>
    </xf>
    <xf numFmtId="0" fontId="10" fillId="2" borderId="107" xfId="9" applyFont="1" applyFill="1" applyBorder="1" applyAlignment="1">
      <alignment horizontal="center" vertical="center"/>
    </xf>
    <xf numFmtId="3" fontId="10" fillId="0" borderId="27" xfId="9" applyNumberFormat="1" applyFont="1" applyBorder="1" applyAlignment="1" applyProtection="1">
      <alignment horizontal="center" vertical="center"/>
      <protection locked="0"/>
    </xf>
    <xf numFmtId="0" fontId="21" fillId="2" borderId="22" xfId="9" applyFont="1" applyFill="1" applyBorder="1" applyAlignment="1">
      <alignment horizontal="center" vertical="center"/>
    </xf>
    <xf numFmtId="0" fontId="21" fillId="2" borderId="106" xfId="9" applyFont="1" applyFill="1" applyBorder="1" applyAlignment="1">
      <alignment horizontal="right" vertical="center"/>
    </xf>
    <xf numFmtId="0" fontId="21" fillId="2" borderId="106" xfId="9" applyFont="1" applyFill="1" applyBorder="1" applyAlignment="1">
      <alignment vertical="center"/>
    </xf>
    <xf numFmtId="3" fontId="10" fillId="2" borderId="109" xfId="9" applyNumberFormat="1" applyFont="1" applyFill="1" applyBorder="1" applyAlignment="1">
      <alignment horizontal="center" vertical="center"/>
    </xf>
    <xf numFmtId="0" fontId="10" fillId="2" borderId="37" xfId="9" applyFont="1" applyFill="1" applyBorder="1" applyAlignment="1">
      <alignment horizontal="center" vertical="center"/>
    </xf>
    <xf numFmtId="169" fontId="10" fillId="0" borderId="31" xfId="9" applyNumberFormat="1" applyFont="1" applyBorder="1" applyAlignment="1" applyProtection="1">
      <alignment horizontal="center" vertical="center"/>
      <protection locked="0"/>
    </xf>
    <xf numFmtId="0" fontId="10" fillId="2" borderId="107" xfId="9" applyFont="1" applyFill="1" applyBorder="1" applyAlignment="1">
      <alignment horizontal="right" vertical="center"/>
    </xf>
    <xf numFmtId="169" fontId="10" fillId="0" borderId="27" xfId="9" applyNumberFormat="1" applyFont="1" applyBorder="1" applyAlignment="1" applyProtection="1">
      <alignment horizontal="center" vertical="center"/>
      <protection locked="0"/>
    </xf>
    <xf numFmtId="169" fontId="10" fillId="2" borderId="109" xfId="9" applyNumberFormat="1" applyFont="1" applyFill="1" applyBorder="1" applyAlignment="1">
      <alignment horizontal="center" vertical="center"/>
    </xf>
    <xf numFmtId="0" fontId="21" fillId="2" borderId="112" xfId="9" applyFont="1" applyFill="1" applyBorder="1" applyAlignment="1">
      <alignment horizontal="center" vertical="center"/>
    </xf>
    <xf numFmtId="3" fontId="10" fillId="2" borderId="111" xfId="9" applyNumberFormat="1" applyFont="1" applyFill="1" applyBorder="1" applyAlignment="1">
      <alignment horizontal="center" vertical="center"/>
    </xf>
    <xf numFmtId="169" fontId="10" fillId="2" borderId="27" xfId="9" applyNumberFormat="1" applyFont="1" applyFill="1" applyBorder="1" applyAlignment="1">
      <alignment horizontal="center" vertical="center"/>
    </xf>
    <xf numFmtId="0" fontId="10" fillId="2" borderId="33" xfId="9" applyFont="1" applyFill="1" applyBorder="1" applyAlignment="1">
      <alignment horizontal="center" vertical="center"/>
    </xf>
    <xf numFmtId="0" fontId="10" fillId="2" borderId="93" xfId="9" applyFont="1" applyFill="1" applyBorder="1" applyAlignment="1">
      <alignment horizontal="center" vertical="center"/>
    </xf>
    <xf numFmtId="169" fontId="10" fillId="2" borderId="35" xfId="9" applyNumberFormat="1" applyFont="1" applyFill="1" applyBorder="1" applyAlignment="1">
      <alignment horizontal="center" vertical="center"/>
    </xf>
    <xf numFmtId="0" fontId="10" fillId="2" borderId="19" xfId="9" applyFont="1" applyFill="1" applyBorder="1" applyAlignment="1">
      <alignment horizontal="center" vertical="center"/>
    </xf>
    <xf numFmtId="0" fontId="10" fillId="2" borderId="135" xfId="9" applyFont="1" applyFill="1" applyBorder="1" applyAlignment="1">
      <alignment horizontal="center" vertical="center"/>
    </xf>
    <xf numFmtId="169" fontId="10" fillId="0" borderId="21" xfId="9" applyNumberFormat="1" applyFont="1" applyBorder="1" applyAlignment="1" applyProtection="1">
      <alignment horizontal="center" vertical="center"/>
      <protection locked="0"/>
    </xf>
    <xf numFmtId="0" fontId="20" fillId="2" borderId="25" xfId="9" applyFont="1" applyFill="1" applyBorder="1" applyAlignment="1">
      <alignment horizontal="center" vertical="center"/>
    </xf>
    <xf numFmtId="0" fontId="20" fillId="2" borderId="107" xfId="9" applyFont="1" applyFill="1" applyBorder="1" applyAlignment="1">
      <alignment horizontal="center" vertical="center"/>
    </xf>
    <xf numFmtId="0" fontId="20" fillId="2" borderId="26" xfId="9" applyFont="1" applyFill="1" applyBorder="1" applyAlignment="1">
      <alignment horizontal="center" vertical="center"/>
    </xf>
    <xf numFmtId="0" fontId="10" fillId="2" borderId="135" xfId="9" applyFont="1" applyFill="1" applyBorder="1" applyAlignment="1">
      <alignment vertical="center"/>
    </xf>
    <xf numFmtId="0" fontId="10" fillId="2" borderId="106" xfId="9" applyFont="1" applyFill="1" applyBorder="1" applyAlignment="1">
      <alignment vertical="center"/>
    </xf>
    <xf numFmtId="169" fontId="20" fillId="2" borderId="23" xfId="9" applyNumberFormat="1" applyFont="1" applyFill="1" applyBorder="1" applyAlignment="1">
      <alignment horizontal="center" vertical="center"/>
    </xf>
    <xf numFmtId="172" fontId="10" fillId="0" borderId="24" xfId="9" applyNumberFormat="1" applyFont="1" applyBorder="1" applyAlignment="1" applyProtection="1">
      <alignment horizontal="center" vertical="center"/>
      <protection locked="0"/>
    </xf>
    <xf numFmtId="0" fontId="10" fillId="2" borderId="112" xfId="9" applyFont="1" applyFill="1" applyBorder="1" applyAlignment="1">
      <alignment horizontal="center" vertical="center"/>
    </xf>
    <xf numFmtId="0" fontId="10" fillId="2" borderId="115" xfId="9" applyFont="1" applyFill="1" applyBorder="1" applyAlignment="1">
      <alignment horizontal="left" vertical="center"/>
    </xf>
    <xf numFmtId="0" fontId="10" fillId="2" borderId="113" xfId="9" applyFont="1" applyFill="1" applyBorder="1" applyAlignment="1">
      <alignment horizontal="center" vertical="center"/>
    </xf>
    <xf numFmtId="3" fontId="10" fillId="0" borderId="120" xfId="9" applyNumberFormat="1" applyFont="1" applyBorder="1" applyAlignment="1" applyProtection="1">
      <alignment horizontal="center" vertical="center"/>
      <protection locked="0"/>
    </xf>
    <xf numFmtId="0" fontId="21" fillId="2" borderId="19" xfId="9" applyFont="1" applyFill="1" applyBorder="1" applyAlignment="1">
      <alignment horizontal="center" vertical="center"/>
    </xf>
    <xf numFmtId="0" fontId="21" fillId="2" borderId="135" xfId="9" applyFont="1" applyFill="1" applyBorder="1" applyAlignment="1">
      <alignment horizontal="right" vertical="center"/>
    </xf>
    <xf numFmtId="4" fontId="15" fillId="2" borderId="133" xfId="9" applyNumberFormat="1" applyFont="1" applyFill="1" applyBorder="1" applyAlignment="1">
      <alignment horizontal="center" vertical="center"/>
    </xf>
    <xf numFmtId="0" fontId="10" fillId="2" borderId="101" xfId="9" applyFont="1" applyFill="1" applyBorder="1" applyAlignment="1">
      <alignment vertical="center"/>
    </xf>
    <xf numFmtId="0" fontId="10" fillId="2" borderId="0" xfId="9" applyFont="1" applyFill="1" applyAlignment="1">
      <alignment vertical="center"/>
    </xf>
    <xf numFmtId="0" fontId="10" fillId="2" borderId="107" xfId="9" applyFont="1" applyFill="1" applyBorder="1" applyAlignment="1">
      <alignment horizontal="left" vertical="center"/>
    </xf>
    <xf numFmtId="169" fontId="10" fillId="2" borderId="133" xfId="9" applyNumberFormat="1" applyFont="1" applyFill="1" applyBorder="1" applyAlignment="1">
      <alignment horizontal="center" vertical="center"/>
    </xf>
    <xf numFmtId="3" fontId="20" fillId="2" borderId="133" xfId="9" applyNumberFormat="1" applyFont="1" applyFill="1" applyBorder="1" applyAlignment="1">
      <alignment horizontal="center" vertical="center"/>
    </xf>
    <xf numFmtId="0" fontId="10" fillId="2" borderId="108" xfId="9" applyFont="1" applyFill="1" applyBorder="1" applyAlignment="1">
      <alignment horizontal="left" vertical="center"/>
    </xf>
    <xf numFmtId="0" fontId="21" fillId="2" borderId="145" xfId="9" applyFont="1" applyFill="1" applyBorder="1" applyAlignment="1">
      <alignment horizontal="right" vertical="center"/>
    </xf>
    <xf numFmtId="0" fontId="21" fillId="2" borderId="20" xfId="9" applyFont="1" applyFill="1" applyBorder="1" applyAlignment="1">
      <alignment horizontal="right" vertical="center"/>
    </xf>
    <xf numFmtId="169" fontId="10" fillId="2" borderId="21" xfId="9" applyNumberFormat="1" applyFont="1" applyFill="1" applyBorder="1" applyAlignment="1">
      <alignment horizontal="center" vertical="center"/>
    </xf>
    <xf numFmtId="0" fontId="10" fillId="2" borderId="101" xfId="9" applyFont="1" applyFill="1" applyBorder="1" applyAlignment="1">
      <alignment horizontal="left" vertical="center"/>
    </xf>
    <xf numFmtId="0" fontId="10" fillId="2" borderId="106" xfId="9" applyFont="1" applyFill="1" applyBorder="1" applyAlignment="1">
      <alignment horizontal="left" vertical="center"/>
    </xf>
    <xf numFmtId="0" fontId="10" fillId="2" borderId="77" xfId="9" applyFont="1" applyFill="1" applyBorder="1" applyAlignment="1">
      <alignment horizontal="left" vertical="center"/>
    </xf>
    <xf numFmtId="16" fontId="10" fillId="2" borderId="22" xfId="9" applyNumberFormat="1" applyFont="1" applyFill="1" applyBorder="1" applyAlignment="1">
      <alignment horizontal="center" vertical="center"/>
    </xf>
    <xf numFmtId="0" fontId="10" fillId="2" borderId="146" xfId="9" applyFont="1" applyFill="1" applyBorder="1" applyAlignment="1">
      <alignment horizontal="left" vertical="center"/>
    </xf>
    <xf numFmtId="0" fontId="41" fillId="0" borderId="0" xfId="9" applyFont="1" applyAlignment="1">
      <alignment wrapText="1"/>
    </xf>
    <xf numFmtId="0" fontId="10" fillId="2" borderId="28" xfId="9" applyFont="1" applyFill="1" applyBorder="1" applyAlignment="1">
      <alignment horizontal="left" vertical="center"/>
    </xf>
    <xf numFmtId="169" fontId="10" fillId="2" borderId="20" xfId="9" applyNumberFormat="1" applyFont="1" applyFill="1" applyBorder="1" applyAlignment="1">
      <alignment horizontal="center" vertical="center"/>
    </xf>
    <xf numFmtId="3" fontId="10" fillId="2" borderId="21" xfId="9" applyNumberFormat="1" applyFont="1" applyFill="1" applyBorder="1" applyAlignment="1">
      <alignment horizontal="center" vertical="center"/>
    </xf>
    <xf numFmtId="169" fontId="10" fillId="2" borderId="23" xfId="9" applyNumberFormat="1" applyFont="1" applyFill="1" applyBorder="1" applyAlignment="1">
      <alignment horizontal="center" vertical="center"/>
    </xf>
    <xf numFmtId="0" fontId="20" fillId="2" borderId="39" xfId="9" applyFont="1" applyFill="1" applyBorder="1" applyAlignment="1">
      <alignment horizontal="center" vertical="center"/>
    </xf>
    <xf numFmtId="0" fontId="20" fillId="2" borderId="34" xfId="9" applyFont="1" applyFill="1" applyBorder="1" applyAlignment="1">
      <alignment horizontal="right" vertical="center"/>
    </xf>
    <xf numFmtId="169" fontId="20" fillId="2" borderId="34" xfId="9" applyNumberFormat="1" applyFont="1" applyFill="1" applyBorder="1" applyAlignment="1">
      <alignment horizontal="center" vertical="center"/>
    </xf>
    <xf numFmtId="3" fontId="20" fillId="0" borderId="35" xfId="9" applyNumberFormat="1" applyFont="1" applyBorder="1" applyAlignment="1" applyProtection="1">
      <alignment horizontal="center" vertical="center"/>
      <protection locked="0"/>
    </xf>
    <xf numFmtId="0" fontId="42" fillId="0" borderId="0" xfId="9" applyFont="1" applyAlignment="1">
      <alignment horizontal="center" vertical="center"/>
    </xf>
    <xf numFmtId="0" fontId="10" fillId="0" borderId="0" xfId="9" applyFont="1" applyAlignment="1">
      <alignment horizontal="center" vertical="center"/>
    </xf>
    <xf numFmtId="3" fontId="10" fillId="0" borderId="0" xfId="9" applyNumberFormat="1" applyFont="1" applyAlignment="1">
      <alignment horizontal="center" vertical="center"/>
    </xf>
    <xf numFmtId="1" fontId="15" fillId="0" borderId="0" xfId="9" applyNumberFormat="1" applyFont="1" applyAlignment="1">
      <alignment horizontal="center" vertical="center"/>
    </xf>
    <xf numFmtId="0" fontId="1" fillId="0" borderId="0" xfId="9" applyFont="1"/>
    <xf numFmtId="0" fontId="11" fillId="0" borderId="0" xfId="9" applyFont="1" applyAlignment="1">
      <alignment horizontal="right"/>
    </xf>
    <xf numFmtId="0" fontId="43" fillId="0" borderId="0" xfId="9" applyFont="1"/>
    <xf numFmtId="0" fontId="46" fillId="0" borderId="0" xfId="9" applyAlignment="1">
      <alignment horizontal="center"/>
    </xf>
    <xf numFmtId="0" fontId="27" fillId="0" borderId="0" xfId="9" applyFont="1"/>
    <xf numFmtId="0" fontId="6" fillId="0" borderId="0" xfId="0" applyFont="1" applyAlignment="1">
      <alignment horizontal="righ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4" fillId="0" borderId="0" xfId="0" applyFont="1" applyBorder="1" applyAlignment="1">
      <alignment horizontal="right" vertical="center" wrapText="1"/>
    </xf>
    <xf numFmtId="0" fontId="13" fillId="0" borderId="4" xfId="0" applyFont="1" applyBorder="1" applyAlignment="1">
      <alignment horizontal="left"/>
    </xf>
    <xf numFmtId="0" fontId="12" fillId="0" borderId="4" xfId="0" applyFont="1" applyBorder="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6" fillId="0" borderId="0" xfId="0" applyFont="1" applyBorder="1" applyAlignment="1">
      <alignment horizontal="right" vertical="center" wrapText="1"/>
    </xf>
    <xf numFmtId="0" fontId="22" fillId="0" borderId="4" xfId="4" applyFont="1" applyBorder="1" applyAlignment="1">
      <alignment horizontal="left"/>
    </xf>
    <xf numFmtId="0" fontId="46" fillId="0" borderId="4" xfId="4" applyBorder="1"/>
    <xf numFmtId="4" fontId="46" fillId="0" borderId="4" xfId="4" applyNumberFormat="1" applyBorder="1"/>
    <xf numFmtId="0" fontId="46" fillId="0" borderId="1" xfId="4" applyBorder="1" applyAlignment="1">
      <alignment horizontal="left"/>
    </xf>
    <xf numFmtId="0" fontId="46" fillId="0" borderId="2" xfId="4" applyBorder="1" applyAlignment="1">
      <alignment horizontal="left"/>
    </xf>
    <xf numFmtId="0" fontId="46" fillId="0" borderId="3" xfId="4" applyBorder="1" applyAlignment="1">
      <alignment horizontal="left"/>
    </xf>
    <xf numFmtId="0" fontId="46" fillId="0" borderId="1" xfId="4" applyBorder="1"/>
    <xf numFmtId="0" fontId="46" fillId="0" borderId="2" xfId="4" applyBorder="1"/>
    <xf numFmtId="0" fontId="46" fillId="0" borderId="3" xfId="4"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6" fillId="0" borderId="0" xfId="0" applyFont="1" applyFill="1" applyAlignment="1" applyProtection="1">
      <alignment horizontal="right" vertical="center" wrapText="1"/>
    </xf>
    <xf numFmtId="0" fontId="0" fillId="0" borderId="1" xfId="5" applyFont="1" applyBorder="1" applyAlignment="1" applyProtection="1">
      <alignment horizontal="left"/>
    </xf>
    <xf numFmtId="0" fontId="0" fillId="0" borderId="2" xfId="5" applyFont="1" applyBorder="1" applyAlignment="1" applyProtection="1">
      <alignment horizontal="left"/>
    </xf>
    <xf numFmtId="0" fontId="0" fillId="0" borderId="3" xfId="5" applyFont="1" applyBorder="1" applyAlignment="1" applyProtection="1">
      <alignment horizontal="left"/>
    </xf>
    <xf numFmtId="0" fontId="0" fillId="0" borderId="1" xfId="5" applyFont="1" applyBorder="1" applyProtection="1"/>
    <xf numFmtId="0" fontId="0" fillId="0" borderId="2" xfId="5" applyFont="1" applyBorder="1" applyProtection="1"/>
    <xf numFmtId="0" fontId="0" fillId="0" borderId="3" xfId="5" applyFont="1" applyBorder="1" applyProtection="1"/>
    <xf numFmtId="0" fontId="22" fillId="0" borderId="1" xfId="5" applyFont="1" applyBorder="1" applyAlignment="1" applyProtection="1">
      <alignment horizontal="left"/>
    </xf>
    <xf numFmtId="0" fontId="22" fillId="0" borderId="2" xfId="5" applyFont="1" applyBorder="1" applyAlignment="1" applyProtection="1">
      <alignment horizontal="left"/>
    </xf>
    <xf numFmtId="0" fontId="22" fillId="0" borderId="3" xfId="5" applyFont="1" applyBorder="1" applyAlignment="1" applyProtection="1">
      <alignment horizontal="left"/>
    </xf>
    <xf numFmtId="0" fontId="14" fillId="0" borderId="0" xfId="0" applyFont="1" applyAlignment="1">
      <alignment horizontal="right" vertical="center" wrapText="1"/>
    </xf>
    <xf numFmtId="0" fontId="46" fillId="0" borderId="1" xfId="6" applyBorder="1" applyAlignment="1">
      <alignment horizontal="left"/>
    </xf>
    <xf numFmtId="0" fontId="46" fillId="0" borderId="2" xfId="6" applyBorder="1" applyAlignment="1">
      <alignment horizontal="left"/>
    </xf>
    <xf numFmtId="0" fontId="46" fillId="0" borderId="3" xfId="6" applyBorder="1" applyAlignment="1">
      <alignment horizontal="left"/>
    </xf>
    <xf numFmtId="0" fontId="46" fillId="0" borderId="1" xfId="6" applyBorder="1"/>
    <xf numFmtId="0" fontId="46" fillId="0" borderId="2" xfId="6" applyBorder="1"/>
    <xf numFmtId="0" fontId="46" fillId="0" borderId="3"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0" fontId="46" fillId="0" borderId="1" xfId="7" applyBorder="1" applyAlignment="1">
      <alignment horizontal="left"/>
    </xf>
    <xf numFmtId="0" fontId="46" fillId="0" borderId="2" xfId="7" applyBorder="1" applyAlignment="1">
      <alignment horizontal="left"/>
    </xf>
    <xf numFmtId="0" fontId="46" fillId="0" borderId="3" xfId="7" applyBorder="1" applyAlignment="1">
      <alignment horizontal="left"/>
    </xf>
    <xf numFmtId="0" fontId="46" fillId="0" borderId="1" xfId="7" applyBorder="1"/>
    <xf numFmtId="0" fontId="46" fillId="0" borderId="2" xfId="7" applyBorder="1"/>
    <xf numFmtId="0" fontId="46" fillId="0" borderId="3" xfId="7" applyBorder="1"/>
    <xf numFmtId="0" fontId="22" fillId="0" borderId="1" xfId="7" applyFont="1" applyBorder="1" applyAlignment="1">
      <alignment horizontal="left"/>
    </xf>
    <xf numFmtId="0" fontId="22" fillId="0" borderId="2" xfId="7" applyFont="1" applyBorder="1" applyAlignment="1">
      <alignment horizontal="left"/>
    </xf>
    <xf numFmtId="0" fontId="22" fillId="0" borderId="3" xfId="7" applyFont="1" applyBorder="1" applyAlignment="1">
      <alignment horizontal="left"/>
    </xf>
    <xf numFmtId="0" fontId="35" fillId="0" borderId="79" xfId="9" applyFont="1" applyBorder="1" applyAlignment="1">
      <alignment horizontal="left" vertical="center"/>
    </xf>
    <xf numFmtId="0" fontId="46" fillId="0" borderId="1" xfId="9" applyBorder="1" applyAlignment="1">
      <alignment horizontal="left"/>
    </xf>
    <xf numFmtId="0" fontId="46" fillId="0" borderId="2" xfId="9" applyBorder="1" applyAlignment="1">
      <alignment horizontal="left"/>
    </xf>
    <xf numFmtId="0" fontId="46" fillId="0" borderId="3" xfId="9" applyBorder="1" applyAlignment="1">
      <alignment horizontal="left"/>
    </xf>
    <xf numFmtId="0" fontId="46" fillId="0" borderId="1" xfId="9" applyBorder="1"/>
    <xf numFmtId="0" fontId="46" fillId="0" borderId="2" xfId="9" applyBorder="1"/>
    <xf numFmtId="0" fontId="46" fillId="0" borderId="3" xfId="9" applyBorder="1"/>
    <xf numFmtId="0" fontId="22" fillId="0" borderId="1" xfId="9" applyFont="1" applyBorder="1" applyAlignment="1">
      <alignment horizontal="left"/>
    </xf>
    <xf numFmtId="0" fontId="22" fillId="0" borderId="2" xfId="9" applyFont="1" applyBorder="1" applyAlignment="1">
      <alignment horizontal="left"/>
    </xf>
    <xf numFmtId="0" fontId="22" fillId="0" borderId="3" xfId="9" applyFont="1" applyBorder="1" applyAlignment="1">
      <alignment horizontal="left"/>
    </xf>
  </cellXfs>
  <cellStyles count="10">
    <cellStyle name="Comma" xfId="3" builtinId="3"/>
    <cellStyle name="Comma 2" xfId="8"/>
    <cellStyle name="Normal" xfId="0" builtinId="0"/>
    <cellStyle name="Normal 2" xfId="1"/>
    <cellStyle name="Normal 2 2" xfId="4"/>
    <cellStyle name="Normal 2 3" xfId="5"/>
    <cellStyle name="Normal 2 4" xfId="6"/>
    <cellStyle name="Normal 2 5" xfId="7"/>
    <cellStyle name="Normal 2 6" xfId="9"/>
    <cellStyle name="Normal 4" xfId="2"/>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E29"/>
  <sheetViews>
    <sheetView workbookViewId="0">
      <selection activeCell="F1" sqref="E1:F1048576"/>
    </sheetView>
  </sheetViews>
  <sheetFormatPr defaultRowHeight="15"/>
  <cols>
    <col min="1" max="2" width="9.140625" style="5"/>
    <col min="3" max="3" width="10.140625" style="5" customWidth="1"/>
    <col min="4" max="4" width="58.140625" style="5" customWidth="1"/>
    <col min="5" max="5" width="25.85546875" style="5" customWidth="1"/>
    <col min="6" max="6" width="31.140625" style="5" customWidth="1"/>
    <col min="7" max="16384" width="9.140625" style="5"/>
  </cols>
  <sheetData>
    <row r="1" spans="1:5">
      <c r="A1" s="1276" t="s">
        <v>0</v>
      </c>
      <c r="B1" s="1277"/>
      <c r="C1" s="1277"/>
      <c r="D1" s="1277"/>
      <c r="E1" s="1278"/>
    </row>
    <row r="2" spans="1:5">
      <c r="A2" s="1276" t="s">
        <v>1</v>
      </c>
      <c r="B2" s="1277"/>
      <c r="C2" s="1277"/>
      <c r="D2" s="1277"/>
      <c r="E2" s="1278"/>
    </row>
    <row r="3" spans="1:5">
      <c r="A3" s="1279"/>
      <c r="B3" s="1280"/>
      <c r="C3" s="1280"/>
      <c r="D3" s="1280"/>
      <c r="E3" s="1281"/>
    </row>
    <row r="4" spans="1:5">
      <c r="A4" s="6"/>
      <c r="B4" s="6"/>
      <c r="C4" s="6"/>
      <c r="D4" s="6"/>
      <c r="E4" s="6"/>
    </row>
    <row r="5" spans="1:5">
      <c r="A5" s="1282" t="s">
        <v>2</v>
      </c>
      <c r="B5" s="1283"/>
      <c r="C5" s="1283"/>
      <c r="D5" s="1283"/>
      <c r="E5" s="1284"/>
    </row>
    <row r="6" spans="1:5">
      <c r="A6" s="6"/>
      <c r="B6" s="6"/>
      <c r="C6" s="6"/>
      <c r="D6" s="6"/>
      <c r="E6" s="6"/>
    </row>
    <row r="8" spans="1:5" ht="29.25" customHeight="1" thickBot="1">
      <c r="C8" s="1275" t="s">
        <v>3</v>
      </c>
      <c r="D8" s="1275"/>
      <c r="E8" s="1275"/>
    </row>
    <row r="9" spans="1:5" ht="15.75" thickBot="1">
      <c r="C9" s="7" t="s">
        <v>4</v>
      </c>
      <c r="D9" s="7" t="s">
        <v>5</v>
      </c>
      <c r="E9" s="8" t="s">
        <v>6</v>
      </c>
    </row>
    <row r="10" spans="1:5">
      <c r="C10" s="9" t="s">
        <v>7</v>
      </c>
      <c r="D10" s="10" t="s">
        <v>8</v>
      </c>
      <c r="E10" s="11"/>
    </row>
    <row r="11" spans="1:5">
      <c r="C11" s="9" t="s">
        <v>9</v>
      </c>
      <c r="D11" s="12" t="s">
        <v>10</v>
      </c>
      <c r="E11" s="9">
        <v>4</v>
      </c>
    </row>
    <row r="12" spans="1:5">
      <c r="C12" s="9" t="s">
        <v>9</v>
      </c>
      <c r="D12" s="12" t="s">
        <v>11</v>
      </c>
      <c r="E12" s="13" t="s">
        <v>12</v>
      </c>
    </row>
    <row r="13" spans="1:5" ht="15.75" thickBot="1">
      <c r="C13" s="14" t="s">
        <v>9</v>
      </c>
      <c r="D13" s="15" t="s">
        <v>13</v>
      </c>
      <c r="E13" s="14" t="s">
        <v>12</v>
      </c>
    </row>
    <row r="14" spans="1:5">
      <c r="C14" s="16" t="s">
        <v>14</v>
      </c>
      <c r="D14" s="17" t="s">
        <v>15</v>
      </c>
      <c r="E14" s="16"/>
    </row>
    <row r="15" spans="1:5">
      <c r="C15" s="18" t="s">
        <v>16</v>
      </c>
      <c r="D15" s="19" t="s">
        <v>17</v>
      </c>
      <c r="E15" s="18" t="s">
        <v>18</v>
      </c>
    </row>
    <row r="16" spans="1:5">
      <c r="C16" s="9" t="s">
        <v>19</v>
      </c>
      <c r="D16" s="20" t="s">
        <v>20</v>
      </c>
      <c r="E16" s="9" t="s">
        <v>21</v>
      </c>
    </row>
    <row r="17" spans="3:5">
      <c r="C17" s="9" t="s">
        <v>22</v>
      </c>
      <c r="D17" s="20" t="s">
        <v>23</v>
      </c>
      <c r="E17" s="9">
        <v>50</v>
      </c>
    </row>
    <row r="18" spans="3:5" ht="51.75" thickBot="1">
      <c r="C18" s="14" t="s">
        <v>24</v>
      </c>
      <c r="D18" s="21" t="s">
        <v>25</v>
      </c>
      <c r="E18" s="14">
        <v>35</v>
      </c>
    </row>
    <row r="19" spans="3:5">
      <c r="C19" s="16" t="s">
        <v>26</v>
      </c>
      <c r="D19" s="17" t="s">
        <v>27</v>
      </c>
      <c r="E19" s="16"/>
    </row>
    <row r="20" spans="3:5" ht="51">
      <c r="C20" s="14" t="s">
        <v>28</v>
      </c>
      <c r="D20" s="21" t="s">
        <v>29</v>
      </c>
      <c r="E20" s="14">
        <v>10</v>
      </c>
    </row>
    <row r="21" spans="3:5" ht="15.75" thickBot="1">
      <c r="C21" s="22" t="s">
        <v>30</v>
      </c>
      <c r="D21" s="23" t="s">
        <v>31</v>
      </c>
      <c r="E21" s="22">
        <v>5</v>
      </c>
    </row>
    <row r="22" spans="3:5">
      <c r="C22" s="16" t="s">
        <v>32</v>
      </c>
      <c r="D22" s="17" t="s">
        <v>33</v>
      </c>
      <c r="E22" s="16"/>
    </row>
    <row r="23" spans="3:5">
      <c r="C23" s="14" t="s">
        <v>34</v>
      </c>
      <c r="D23" s="20" t="s">
        <v>35</v>
      </c>
      <c r="E23" s="24">
        <v>6</v>
      </c>
    </row>
    <row r="24" spans="3:5" ht="26.25" thickBot="1">
      <c r="C24" s="9" t="s">
        <v>36</v>
      </c>
      <c r="D24" s="21" t="s">
        <v>37</v>
      </c>
      <c r="E24" s="9">
        <v>6</v>
      </c>
    </row>
    <row r="25" spans="3:5">
      <c r="C25" s="16" t="s">
        <v>38</v>
      </c>
      <c r="D25" s="17" t="s">
        <v>39</v>
      </c>
      <c r="E25" s="25"/>
    </row>
    <row r="26" spans="3:5">
      <c r="C26" s="9" t="s">
        <v>40</v>
      </c>
      <c r="D26" s="12" t="s">
        <v>41</v>
      </c>
      <c r="E26" s="9">
        <v>7</v>
      </c>
    </row>
    <row r="27" spans="3:5" ht="26.25" thickBot="1">
      <c r="C27" s="22" t="s">
        <v>42</v>
      </c>
      <c r="D27" s="26" t="s">
        <v>43</v>
      </c>
      <c r="E27" s="22">
        <v>10</v>
      </c>
    </row>
    <row r="28" spans="3:5">
      <c r="C28" s="27"/>
      <c r="E28" s="28"/>
    </row>
    <row r="29" spans="3:5">
      <c r="D29" s="29"/>
    </row>
  </sheetData>
  <sheetProtection password="F757" sheet="1" objects="1" scenarios="1"/>
  <mergeCells count="5">
    <mergeCell ref="C8:E8"/>
    <mergeCell ref="A1:E1"/>
    <mergeCell ref="A2:E2"/>
    <mergeCell ref="A3:E3"/>
    <mergeCell ref="A5:E5"/>
  </mergeCells>
  <pageMargins left="0.70866141732283472" right="0.70866141732283472" top="0.74803149606299213" bottom="0.74803149606299213" header="0.31496062992125984" footer="0.31496062992125984"/>
  <pageSetup paperSize="9" scale="95" orientation="landscape" horizontalDpi="300" verticalDpi="300" r:id="rId1"/>
</worksheet>
</file>

<file path=xl/worksheets/sheet10.xml><?xml version="1.0" encoding="utf-8"?>
<worksheet xmlns="http://schemas.openxmlformats.org/spreadsheetml/2006/main" xmlns:r="http://schemas.openxmlformats.org/officeDocument/2006/relationships">
  <dimension ref="A1:Q134"/>
  <sheetViews>
    <sheetView zoomScale="90" zoomScaleNormal="90" workbookViewId="0">
      <selection sqref="A1:P1"/>
    </sheetView>
  </sheetViews>
  <sheetFormatPr defaultRowHeight="15"/>
  <cols>
    <col min="1" max="2" width="9.140625" style="5"/>
    <col min="3" max="3" width="61.42578125" style="5" customWidth="1"/>
    <col min="4" max="4" width="11" style="5" customWidth="1"/>
    <col min="5" max="5" width="11.85546875" style="5" customWidth="1"/>
    <col min="6" max="6" width="14.42578125" style="5" customWidth="1"/>
    <col min="7" max="7" width="14.140625" style="5" customWidth="1"/>
    <col min="8" max="8" width="14.7109375" style="5" customWidth="1"/>
    <col min="9" max="9" width="15.5703125" style="5" customWidth="1"/>
    <col min="10" max="10" width="13.85546875" style="5" customWidth="1"/>
    <col min="11" max="11" width="11.5703125" style="5" customWidth="1"/>
    <col min="12" max="12" width="11.85546875" style="5" customWidth="1"/>
    <col min="13" max="13" width="12.140625" style="5" customWidth="1"/>
    <col min="14" max="14" width="20.85546875" style="5" customWidth="1"/>
    <col min="15" max="15" width="16.28515625" style="5" customWidth="1"/>
    <col min="16" max="16" width="23.28515625" style="5" customWidth="1"/>
    <col min="17" max="17" width="13.28515625" style="5" customWidth="1"/>
    <col min="18" max="16384" width="9.140625" style="5"/>
  </cols>
  <sheetData>
    <row r="1" spans="1:17">
      <c r="A1" s="1276" t="s">
        <v>0</v>
      </c>
      <c r="B1" s="1277"/>
      <c r="C1" s="1277"/>
      <c r="D1" s="1277"/>
      <c r="E1" s="1277"/>
      <c r="F1" s="1277"/>
      <c r="G1" s="1277"/>
      <c r="H1" s="1277"/>
      <c r="I1" s="1277"/>
      <c r="J1" s="1277"/>
      <c r="K1" s="1277"/>
      <c r="L1" s="1277"/>
      <c r="M1" s="1277"/>
      <c r="N1" s="1277"/>
      <c r="O1" s="1277"/>
      <c r="P1" s="1278"/>
    </row>
    <row r="2" spans="1:17">
      <c r="A2" s="1276" t="s">
        <v>1</v>
      </c>
      <c r="B2" s="1277"/>
      <c r="C2" s="1277"/>
      <c r="D2" s="1277"/>
      <c r="E2" s="1277"/>
      <c r="F2" s="1277"/>
      <c r="G2" s="1277"/>
      <c r="H2" s="1277"/>
      <c r="I2" s="1277"/>
      <c r="J2" s="1277"/>
      <c r="K2" s="1277"/>
      <c r="L2" s="1277"/>
      <c r="M2" s="1277"/>
      <c r="N2" s="1277"/>
      <c r="O2" s="1277"/>
      <c r="P2" s="1278"/>
    </row>
    <row r="3" spans="1:17">
      <c r="A3" s="1279"/>
      <c r="B3" s="1280"/>
      <c r="C3" s="1280"/>
      <c r="D3" s="1280"/>
      <c r="E3" s="1280"/>
      <c r="F3" s="1280"/>
      <c r="G3" s="1280"/>
      <c r="H3" s="1280"/>
      <c r="I3" s="1280"/>
      <c r="J3" s="1280"/>
      <c r="K3" s="1280"/>
      <c r="L3" s="1280"/>
      <c r="M3" s="1280"/>
      <c r="N3" s="1280"/>
      <c r="O3" s="1280"/>
      <c r="P3" s="1281"/>
    </row>
    <row r="4" spans="1:17">
      <c r="A4" s="6"/>
      <c r="B4" s="6"/>
      <c r="C4" s="6"/>
      <c r="D4" s="6"/>
      <c r="E4" s="6"/>
      <c r="F4" s="6"/>
      <c r="G4" s="6"/>
      <c r="H4" s="6"/>
      <c r="I4" s="6"/>
      <c r="J4" s="6"/>
      <c r="K4" s="6"/>
      <c r="L4" s="6"/>
      <c r="M4" s="6"/>
      <c r="N4" s="6"/>
      <c r="O4" s="6"/>
      <c r="P4" s="6"/>
    </row>
    <row r="5" spans="1:17">
      <c r="A5" s="1282" t="s">
        <v>949</v>
      </c>
      <c r="B5" s="1283"/>
      <c r="C5" s="1283"/>
      <c r="D5" s="1283"/>
      <c r="E5" s="1283"/>
      <c r="F5" s="1283"/>
      <c r="G5" s="1283"/>
      <c r="H5" s="1283"/>
      <c r="I5" s="1283"/>
      <c r="J5" s="1283"/>
      <c r="K5" s="1283"/>
      <c r="L5" s="1283"/>
      <c r="M5" s="1283"/>
      <c r="N5" s="1283"/>
      <c r="O5" s="1283"/>
      <c r="P5" s="1284"/>
    </row>
    <row r="6" spans="1:17">
      <c r="A6" s="6"/>
      <c r="B6" s="6"/>
      <c r="C6" s="6"/>
      <c r="D6" s="6"/>
      <c r="E6" s="6"/>
      <c r="F6" s="6"/>
      <c r="G6" s="6"/>
      <c r="H6" s="6"/>
      <c r="I6" s="6"/>
      <c r="J6" s="6"/>
      <c r="K6" s="6"/>
      <c r="L6" s="6"/>
      <c r="M6" s="6"/>
      <c r="N6" s="6"/>
      <c r="O6" s="6"/>
      <c r="P6" s="6"/>
    </row>
    <row r="8" spans="1:17" ht="15.75" thickBot="1">
      <c r="B8" s="1275" t="s">
        <v>950</v>
      </c>
      <c r="C8" s="1275"/>
      <c r="D8" s="1275"/>
      <c r="E8" s="1275"/>
      <c r="F8" s="1275"/>
      <c r="G8" s="1275"/>
      <c r="H8" s="1275"/>
      <c r="I8" s="1275"/>
      <c r="J8" s="1275"/>
      <c r="K8" s="1275"/>
      <c r="L8" s="1275"/>
      <c r="M8" s="1275"/>
      <c r="N8" s="1275"/>
      <c r="O8" s="1275"/>
      <c r="P8" s="1275"/>
    </row>
    <row r="9" spans="1:17" ht="101.25" customHeight="1" thickBot="1">
      <c r="B9" s="1028" t="s">
        <v>4</v>
      </c>
      <c r="C9" s="1029" t="s">
        <v>52</v>
      </c>
      <c r="D9" s="1029" t="s">
        <v>255</v>
      </c>
      <c r="E9" s="1030" t="s">
        <v>256</v>
      </c>
      <c r="F9" s="1031" t="s">
        <v>257</v>
      </c>
      <c r="G9" s="1032" t="s">
        <v>258</v>
      </c>
      <c r="H9" s="1033" t="s">
        <v>259</v>
      </c>
      <c r="I9" s="1034" t="s">
        <v>260</v>
      </c>
      <c r="J9" s="32" t="s">
        <v>261</v>
      </c>
      <c r="K9" s="1032" t="s">
        <v>262</v>
      </c>
      <c r="L9" s="1033" t="s">
        <v>263</v>
      </c>
      <c r="M9" s="1035" t="s">
        <v>264</v>
      </c>
      <c r="N9" s="1036" t="s">
        <v>265</v>
      </c>
      <c r="O9" s="1037" t="s">
        <v>266</v>
      </c>
      <c r="P9" s="1038" t="s">
        <v>267</v>
      </c>
    </row>
    <row r="10" spans="1:17" ht="16.5" thickTop="1" thickBot="1">
      <c r="A10" s="1039"/>
      <c r="B10" s="488" t="s">
        <v>51</v>
      </c>
      <c r="C10" s="488" t="s">
        <v>595</v>
      </c>
      <c r="D10" s="1040">
        <f t="shared" ref="D10:P10" si="0">D11+D15+D20+D23+D26+D29</f>
        <v>4680.45</v>
      </c>
      <c r="E10" s="1041">
        <f t="shared" si="0"/>
        <v>32.477302153047987</v>
      </c>
      <c r="F10" s="1041">
        <f t="shared" si="0"/>
        <v>2633.2667178909383</v>
      </c>
      <c r="G10" s="1042">
        <f t="shared" si="0"/>
        <v>731.12192825296233</v>
      </c>
      <c r="H10" s="1043">
        <f t="shared" si="0"/>
        <v>118.10334231438118</v>
      </c>
      <c r="I10" s="1044">
        <f t="shared" si="0"/>
        <v>1784.0414473235951</v>
      </c>
      <c r="J10" s="1045">
        <f t="shared" si="0"/>
        <v>1751.626233233038</v>
      </c>
      <c r="K10" s="1042">
        <f t="shared" si="0"/>
        <v>1470.1123894478421</v>
      </c>
      <c r="L10" s="1043">
        <f t="shared" si="0"/>
        <v>268.74586278519592</v>
      </c>
      <c r="M10" s="1044">
        <f t="shared" si="0"/>
        <v>12.767980999999999</v>
      </c>
      <c r="N10" s="1046">
        <f t="shared" si="0"/>
        <v>0</v>
      </c>
      <c r="O10" s="1047">
        <f t="shared" si="0"/>
        <v>0</v>
      </c>
      <c r="P10" s="1041">
        <f t="shared" si="0"/>
        <v>263.07974672297541</v>
      </c>
      <c r="Q10" s="28"/>
    </row>
    <row r="11" spans="1:17" ht="15.75" thickTop="1">
      <c r="B11" s="498" t="s">
        <v>96</v>
      </c>
      <c r="C11" s="499" t="s">
        <v>8</v>
      </c>
      <c r="D11" s="1048">
        <f t="shared" ref="D11:D55" si="1">E11+F11+J11+N11+O11+P11</f>
        <v>15.83</v>
      </c>
      <c r="E11" s="1049">
        <f>SUM(E12:E14)</f>
        <v>15.83</v>
      </c>
      <c r="F11" s="1049">
        <f t="shared" ref="F11:F32" si="2">SUM(G11:I11)</f>
        <v>0</v>
      </c>
      <c r="G11" s="146">
        <f>SUM(G12:G14)</f>
        <v>0</v>
      </c>
      <c r="H11" s="147">
        <f>SUM(H12:H14)</f>
        <v>0</v>
      </c>
      <c r="I11" s="148">
        <f>SUM(I12:I14)</f>
        <v>0</v>
      </c>
      <c r="J11" s="145">
        <f t="shared" ref="J11:J32" si="3">SUM(K11:M11)</f>
        <v>0</v>
      </c>
      <c r="K11" s="146">
        <f t="shared" ref="K11:P11" si="4">SUM(K12:K14)</f>
        <v>0</v>
      </c>
      <c r="L11" s="147">
        <f t="shared" si="4"/>
        <v>0</v>
      </c>
      <c r="M11" s="148">
        <f t="shared" si="4"/>
        <v>0</v>
      </c>
      <c r="N11" s="1050">
        <f t="shared" si="4"/>
        <v>0</v>
      </c>
      <c r="O11" s="144">
        <f t="shared" si="4"/>
        <v>0</v>
      </c>
      <c r="P11" s="1049">
        <f t="shared" si="4"/>
        <v>0</v>
      </c>
    </row>
    <row r="12" spans="1:17">
      <c r="B12" s="508" t="s">
        <v>98</v>
      </c>
      <c r="C12" s="509" t="s">
        <v>10</v>
      </c>
      <c r="D12" s="1048">
        <f t="shared" si="1"/>
        <v>15.83</v>
      </c>
      <c r="E12" s="1051">
        <f>SUM(E35,E58,E98)</f>
        <v>15.83</v>
      </c>
      <c r="F12" s="1049">
        <f t="shared" si="2"/>
        <v>0</v>
      </c>
      <c r="G12" s="359">
        <f t="shared" ref="G12:I14" si="5">SUM(G35,G58,G98)</f>
        <v>0</v>
      </c>
      <c r="H12" s="360">
        <f t="shared" si="5"/>
        <v>0</v>
      </c>
      <c r="I12" s="361">
        <f t="shared" si="5"/>
        <v>0</v>
      </c>
      <c r="J12" s="145">
        <f t="shared" si="3"/>
        <v>0</v>
      </c>
      <c r="K12" s="359">
        <f t="shared" ref="K12:P14" si="6">SUM(K35,K58,K98)</f>
        <v>0</v>
      </c>
      <c r="L12" s="360">
        <f t="shared" si="6"/>
        <v>0</v>
      </c>
      <c r="M12" s="361">
        <f t="shared" si="6"/>
        <v>0</v>
      </c>
      <c r="N12" s="1052">
        <f t="shared" si="6"/>
        <v>0</v>
      </c>
      <c r="O12" s="144">
        <f t="shared" si="6"/>
        <v>0</v>
      </c>
      <c r="P12" s="1049">
        <f t="shared" si="6"/>
        <v>0</v>
      </c>
    </row>
    <row r="13" spans="1:17">
      <c r="B13" s="508" t="s">
        <v>100</v>
      </c>
      <c r="C13" s="509" t="s">
        <v>11</v>
      </c>
      <c r="D13" s="1048">
        <f t="shared" si="1"/>
        <v>0</v>
      </c>
      <c r="E13" s="1051">
        <f>SUM(E36,E59,E99)</f>
        <v>0</v>
      </c>
      <c r="F13" s="1049">
        <f t="shared" si="2"/>
        <v>0</v>
      </c>
      <c r="G13" s="359">
        <f t="shared" si="5"/>
        <v>0</v>
      </c>
      <c r="H13" s="360">
        <f t="shared" si="5"/>
        <v>0</v>
      </c>
      <c r="I13" s="361">
        <f t="shared" si="5"/>
        <v>0</v>
      </c>
      <c r="J13" s="145">
        <f t="shared" si="3"/>
        <v>0</v>
      </c>
      <c r="K13" s="359">
        <f t="shared" si="6"/>
        <v>0</v>
      </c>
      <c r="L13" s="360">
        <f t="shared" si="6"/>
        <v>0</v>
      </c>
      <c r="M13" s="361">
        <f t="shared" si="6"/>
        <v>0</v>
      </c>
      <c r="N13" s="1052">
        <f t="shared" si="6"/>
        <v>0</v>
      </c>
      <c r="O13" s="144">
        <f t="shared" si="6"/>
        <v>0</v>
      </c>
      <c r="P13" s="1049">
        <f t="shared" si="6"/>
        <v>0</v>
      </c>
    </row>
    <row r="14" spans="1:17">
      <c r="B14" s="508" t="s">
        <v>596</v>
      </c>
      <c r="C14" s="509" t="s">
        <v>13</v>
      </c>
      <c r="D14" s="1048">
        <f t="shared" si="1"/>
        <v>0</v>
      </c>
      <c r="E14" s="1051">
        <f>SUM(E37,E60,E100)</f>
        <v>0</v>
      </c>
      <c r="F14" s="1049">
        <f t="shared" si="2"/>
        <v>0</v>
      </c>
      <c r="G14" s="359">
        <f t="shared" si="5"/>
        <v>0</v>
      </c>
      <c r="H14" s="360">
        <f t="shared" si="5"/>
        <v>0</v>
      </c>
      <c r="I14" s="361">
        <f t="shared" si="5"/>
        <v>0</v>
      </c>
      <c r="J14" s="145">
        <f t="shared" si="3"/>
        <v>0</v>
      </c>
      <c r="K14" s="359">
        <f t="shared" si="6"/>
        <v>0</v>
      </c>
      <c r="L14" s="360">
        <f t="shared" si="6"/>
        <v>0</v>
      </c>
      <c r="M14" s="361">
        <f t="shared" si="6"/>
        <v>0</v>
      </c>
      <c r="N14" s="1052">
        <f t="shared" si="6"/>
        <v>0</v>
      </c>
      <c r="O14" s="144">
        <f t="shared" si="6"/>
        <v>0</v>
      </c>
      <c r="P14" s="1049">
        <f t="shared" si="6"/>
        <v>0</v>
      </c>
    </row>
    <row r="15" spans="1:17">
      <c r="B15" s="498" t="s">
        <v>102</v>
      </c>
      <c r="C15" s="519" t="s">
        <v>15</v>
      </c>
      <c r="D15" s="1048">
        <f t="shared" si="1"/>
        <v>4426.3</v>
      </c>
      <c r="E15" s="1049">
        <f>SUM(E16:E19)</f>
        <v>0</v>
      </c>
      <c r="F15" s="1049">
        <f t="shared" si="2"/>
        <v>2572.0838287267543</v>
      </c>
      <c r="G15" s="146">
        <f>SUM(G16:G19)</f>
        <v>708.17483004306803</v>
      </c>
      <c r="H15" s="147">
        <f>SUM(H16:H19)</f>
        <v>105.91899868368641</v>
      </c>
      <c r="I15" s="148">
        <f>SUM(I16:I19)</f>
        <v>1757.99</v>
      </c>
      <c r="J15" s="145">
        <f t="shared" si="3"/>
        <v>1726.5361712732456</v>
      </c>
      <c r="K15" s="146">
        <f t="shared" ref="K15:P15" si="7">SUM(K16:K19)</f>
        <v>1463.2262831443402</v>
      </c>
      <c r="L15" s="147">
        <f t="shared" si="7"/>
        <v>263.30988812890541</v>
      </c>
      <c r="M15" s="148">
        <f t="shared" si="7"/>
        <v>0</v>
      </c>
      <c r="N15" s="1050">
        <f t="shared" si="7"/>
        <v>0</v>
      </c>
      <c r="O15" s="144">
        <f t="shared" si="7"/>
        <v>0</v>
      </c>
      <c r="P15" s="1049">
        <f t="shared" si="7"/>
        <v>127.68</v>
      </c>
    </row>
    <row r="16" spans="1:17">
      <c r="B16" s="508" t="s">
        <v>104</v>
      </c>
      <c r="C16" s="509" t="s">
        <v>17</v>
      </c>
      <c r="D16" s="1048">
        <f t="shared" si="1"/>
        <v>841.5</v>
      </c>
      <c r="E16" s="1051">
        <f>SUM(E39,E62,E102)</f>
        <v>0</v>
      </c>
      <c r="F16" s="1049">
        <f t="shared" si="2"/>
        <v>627.51382872675447</v>
      </c>
      <c r="G16" s="359">
        <f t="shared" ref="G16:I19" si="8">SUM(G39,G62,G102)</f>
        <v>525.80483004306802</v>
      </c>
      <c r="H16" s="360">
        <f t="shared" si="8"/>
        <v>101.70899868368642</v>
      </c>
      <c r="I16" s="361">
        <f t="shared" si="8"/>
        <v>0</v>
      </c>
      <c r="J16" s="145">
        <f t="shared" si="3"/>
        <v>213.98617127324556</v>
      </c>
      <c r="K16" s="359">
        <f t="shared" ref="K16:P19" si="9">SUM(K39,K62,K102)</f>
        <v>8.7162831443401636</v>
      </c>
      <c r="L16" s="360">
        <f t="shared" si="9"/>
        <v>205.26988812890539</v>
      </c>
      <c r="M16" s="361">
        <f t="shared" si="9"/>
        <v>0</v>
      </c>
      <c r="N16" s="1052">
        <f t="shared" si="9"/>
        <v>0</v>
      </c>
      <c r="O16" s="144">
        <f t="shared" si="9"/>
        <v>0</v>
      </c>
      <c r="P16" s="1049">
        <f t="shared" si="9"/>
        <v>0</v>
      </c>
    </row>
    <row r="17" spans="2:16">
      <c r="B17" s="508" t="s">
        <v>110</v>
      </c>
      <c r="C17" s="509" t="s">
        <v>597</v>
      </c>
      <c r="D17" s="1048">
        <f t="shared" si="1"/>
        <v>57.86</v>
      </c>
      <c r="E17" s="1051">
        <f>SUM(E40,E63,E103)</f>
        <v>0</v>
      </c>
      <c r="F17" s="1049">
        <f t="shared" si="2"/>
        <v>57.86</v>
      </c>
      <c r="G17" s="359">
        <f t="shared" si="8"/>
        <v>57.86</v>
      </c>
      <c r="H17" s="360">
        <f t="shared" si="8"/>
        <v>0</v>
      </c>
      <c r="I17" s="361">
        <f t="shared" si="8"/>
        <v>0</v>
      </c>
      <c r="J17" s="145">
        <f t="shared" si="3"/>
        <v>0</v>
      </c>
      <c r="K17" s="359">
        <f t="shared" si="9"/>
        <v>0</v>
      </c>
      <c r="L17" s="360">
        <f t="shared" si="9"/>
        <v>0</v>
      </c>
      <c r="M17" s="361">
        <f t="shared" si="9"/>
        <v>0</v>
      </c>
      <c r="N17" s="1052">
        <f t="shared" si="9"/>
        <v>0</v>
      </c>
      <c r="O17" s="144">
        <f t="shared" si="9"/>
        <v>0</v>
      </c>
      <c r="P17" s="1049">
        <f t="shared" si="9"/>
        <v>0</v>
      </c>
    </row>
    <row r="18" spans="2:16">
      <c r="B18" s="508" t="s">
        <v>117</v>
      </c>
      <c r="C18" s="509" t="s">
        <v>23</v>
      </c>
      <c r="D18" s="1048">
        <f t="shared" si="1"/>
        <v>2987.93</v>
      </c>
      <c r="E18" s="1051">
        <f>SUM(E41,E64,E104)</f>
        <v>0</v>
      </c>
      <c r="F18" s="1049">
        <f t="shared" si="2"/>
        <v>1652.15</v>
      </c>
      <c r="G18" s="359">
        <f t="shared" si="8"/>
        <v>0</v>
      </c>
      <c r="H18" s="360">
        <f t="shared" si="8"/>
        <v>0</v>
      </c>
      <c r="I18" s="361">
        <f t="shared" si="8"/>
        <v>1652.15</v>
      </c>
      <c r="J18" s="145">
        <f t="shared" si="3"/>
        <v>1208.0999999999999</v>
      </c>
      <c r="K18" s="359">
        <f t="shared" si="9"/>
        <v>1208.0999999999999</v>
      </c>
      <c r="L18" s="360">
        <f t="shared" si="9"/>
        <v>0</v>
      </c>
      <c r="M18" s="361">
        <f t="shared" si="9"/>
        <v>0</v>
      </c>
      <c r="N18" s="1052">
        <f t="shared" si="9"/>
        <v>0</v>
      </c>
      <c r="O18" s="144">
        <f t="shared" si="9"/>
        <v>0</v>
      </c>
      <c r="P18" s="1049">
        <f t="shared" si="9"/>
        <v>127.68</v>
      </c>
    </row>
    <row r="19" spans="2:16" ht="38.25">
      <c r="B19" s="508" t="s">
        <v>598</v>
      </c>
      <c r="C19" s="509" t="s">
        <v>599</v>
      </c>
      <c r="D19" s="1048">
        <f t="shared" si="1"/>
        <v>539.01</v>
      </c>
      <c r="E19" s="1051">
        <f>SUM(E42,E65,E105)</f>
        <v>0</v>
      </c>
      <c r="F19" s="1049">
        <f t="shared" si="2"/>
        <v>234.56</v>
      </c>
      <c r="G19" s="359">
        <f t="shared" si="8"/>
        <v>124.51</v>
      </c>
      <c r="H19" s="360">
        <f t="shared" si="8"/>
        <v>4.21</v>
      </c>
      <c r="I19" s="361">
        <f t="shared" si="8"/>
        <v>105.84</v>
      </c>
      <c r="J19" s="145">
        <f t="shared" si="3"/>
        <v>304.45</v>
      </c>
      <c r="K19" s="359">
        <f t="shared" si="9"/>
        <v>246.41</v>
      </c>
      <c r="L19" s="360">
        <f t="shared" si="9"/>
        <v>58.04</v>
      </c>
      <c r="M19" s="361">
        <f t="shared" si="9"/>
        <v>0</v>
      </c>
      <c r="N19" s="1052">
        <f t="shared" si="9"/>
        <v>0</v>
      </c>
      <c r="O19" s="144">
        <f t="shared" si="9"/>
        <v>0</v>
      </c>
      <c r="P19" s="1049">
        <f t="shared" si="9"/>
        <v>0</v>
      </c>
    </row>
    <row r="20" spans="2:16">
      <c r="B20" s="498" t="s">
        <v>124</v>
      </c>
      <c r="C20" s="523" t="s">
        <v>27</v>
      </c>
      <c r="D20" s="1048">
        <f t="shared" si="1"/>
        <v>49.8</v>
      </c>
      <c r="E20" s="1049">
        <f>SUM(E21:E22)</f>
        <v>2.7473021530479897</v>
      </c>
      <c r="F20" s="1049">
        <f t="shared" si="2"/>
        <v>34.730616887159535</v>
      </c>
      <c r="G20" s="146">
        <f>SUM(G21:G22)</f>
        <v>12.941030583657584</v>
      </c>
      <c r="H20" s="147">
        <f>SUM(H21:H22)</f>
        <v>8.2825689234760063</v>
      </c>
      <c r="I20" s="148">
        <f>SUM(I21:I22)</f>
        <v>13.507017380025941</v>
      </c>
      <c r="J20" s="145">
        <f t="shared" si="3"/>
        <v>12.322080959792476</v>
      </c>
      <c r="K20" s="146">
        <f t="shared" ref="K20:P20" si="10">SUM(K21:K22)</f>
        <v>6.886106303501947</v>
      </c>
      <c r="L20" s="147">
        <f t="shared" si="10"/>
        <v>5.4359746562905302</v>
      </c>
      <c r="M20" s="148">
        <f t="shared" si="10"/>
        <v>0</v>
      </c>
      <c r="N20" s="1050">
        <f t="shared" si="10"/>
        <v>0</v>
      </c>
      <c r="O20" s="144">
        <f t="shared" si="10"/>
        <v>0</v>
      </c>
      <c r="P20" s="1049">
        <f t="shared" si="10"/>
        <v>0</v>
      </c>
    </row>
    <row r="21" spans="2:16" ht="51.75">
      <c r="B21" s="508" t="s">
        <v>126</v>
      </c>
      <c r="C21" s="524" t="s">
        <v>29</v>
      </c>
      <c r="D21" s="1048">
        <f t="shared" si="1"/>
        <v>49.8</v>
      </c>
      <c r="E21" s="1051">
        <f>SUM(E44,E67,E107)</f>
        <v>2.7473021530479897</v>
      </c>
      <c r="F21" s="1049">
        <f t="shared" si="2"/>
        <v>34.730616887159535</v>
      </c>
      <c r="G21" s="359">
        <f>SUM(G44,G67,G107)</f>
        <v>12.941030583657584</v>
      </c>
      <c r="H21" s="360">
        <f>SUM(H44,H67,H107)</f>
        <v>8.2825689234760063</v>
      </c>
      <c r="I21" s="361">
        <f>SUM(I44,I67,I107)</f>
        <v>13.507017380025941</v>
      </c>
      <c r="J21" s="145">
        <f t="shared" si="3"/>
        <v>12.322080959792476</v>
      </c>
      <c r="K21" s="359">
        <f t="shared" ref="K21:P21" si="11">SUM(K44,K67,K107)</f>
        <v>6.886106303501947</v>
      </c>
      <c r="L21" s="360">
        <f t="shared" si="11"/>
        <v>5.4359746562905302</v>
      </c>
      <c r="M21" s="361">
        <f t="shared" si="11"/>
        <v>0</v>
      </c>
      <c r="N21" s="1052">
        <f t="shared" si="11"/>
        <v>0</v>
      </c>
      <c r="O21" s="144">
        <f t="shared" si="11"/>
        <v>0</v>
      </c>
      <c r="P21" s="1049">
        <f t="shared" si="11"/>
        <v>0</v>
      </c>
    </row>
    <row r="22" spans="2:16">
      <c r="B22" s="508" t="s">
        <v>128</v>
      </c>
      <c r="C22" s="524" t="s">
        <v>31</v>
      </c>
      <c r="D22" s="1048">
        <f t="shared" si="1"/>
        <v>0</v>
      </c>
      <c r="E22" s="1051">
        <f>SUM(E45,E68)</f>
        <v>0</v>
      </c>
      <c r="F22" s="1049">
        <f t="shared" si="2"/>
        <v>0</v>
      </c>
      <c r="G22" s="359">
        <f>SUM(G45,G68)</f>
        <v>0</v>
      </c>
      <c r="H22" s="360">
        <f>SUM(H45,H68)</f>
        <v>0</v>
      </c>
      <c r="I22" s="361">
        <f>SUM(I45,I68)</f>
        <v>0</v>
      </c>
      <c r="J22" s="145">
        <f t="shared" si="3"/>
        <v>0</v>
      </c>
      <c r="K22" s="359">
        <f t="shared" ref="K22:P22" si="12">SUM(K45,K68)</f>
        <v>0</v>
      </c>
      <c r="L22" s="360">
        <f t="shared" si="12"/>
        <v>0</v>
      </c>
      <c r="M22" s="361">
        <f t="shared" si="12"/>
        <v>0</v>
      </c>
      <c r="N22" s="1052">
        <f t="shared" si="12"/>
        <v>0</v>
      </c>
      <c r="O22" s="144">
        <f t="shared" si="12"/>
        <v>0</v>
      </c>
      <c r="P22" s="1049">
        <f t="shared" si="12"/>
        <v>0</v>
      </c>
    </row>
    <row r="23" spans="2:16">
      <c r="B23" s="498" t="s">
        <v>131</v>
      </c>
      <c r="C23" s="523" t="s">
        <v>33</v>
      </c>
      <c r="D23" s="1048">
        <f t="shared" si="1"/>
        <v>28.859999999999996</v>
      </c>
      <c r="E23" s="1049">
        <f>SUM(E24:E25)</f>
        <v>0</v>
      </c>
      <c r="F23" s="1049">
        <f t="shared" si="2"/>
        <v>26.452272277024548</v>
      </c>
      <c r="G23" s="146">
        <f>SUM(G24:G25)</f>
        <v>10.006067626236716</v>
      </c>
      <c r="H23" s="147">
        <f>SUM(H24:H25)</f>
        <v>3.9017747072187619</v>
      </c>
      <c r="I23" s="148">
        <f>SUM(I24:I25)</f>
        <v>12.544429943569073</v>
      </c>
      <c r="J23" s="145">
        <f t="shared" si="3"/>
        <v>0</v>
      </c>
      <c r="K23" s="146">
        <f t="shared" ref="K23:P23" si="13">SUM(K24:K25)</f>
        <v>0</v>
      </c>
      <c r="L23" s="147">
        <f t="shared" si="13"/>
        <v>0</v>
      </c>
      <c r="M23" s="148">
        <f t="shared" si="13"/>
        <v>0</v>
      </c>
      <c r="N23" s="1050">
        <f t="shared" si="13"/>
        <v>0</v>
      </c>
      <c r="O23" s="144">
        <f t="shared" si="13"/>
        <v>0</v>
      </c>
      <c r="P23" s="1049">
        <f t="shared" si="13"/>
        <v>2.4077277229754488</v>
      </c>
    </row>
    <row r="24" spans="2:16">
      <c r="B24" s="508" t="s">
        <v>133</v>
      </c>
      <c r="C24" s="524" t="s">
        <v>600</v>
      </c>
      <c r="D24" s="1048">
        <f t="shared" si="1"/>
        <v>0</v>
      </c>
      <c r="E24" s="1051">
        <f>SUM(E47,E70,E109)</f>
        <v>0</v>
      </c>
      <c r="F24" s="1053">
        <f t="shared" si="2"/>
        <v>0</v>
      </c>
      <c r="G24" s="1054">
        <f t="shared" ref="G24:I25" si="14">SUM(G47,G70,G109)</f>
        <v>0</v>
      </c>
      <c r="H24" s="1055">
        <f t="shared" si="14"/>
        <v>0</v>
      </c>
      <c r="I24" s="1056">
        <f t="shared" si="14"/>
        <v>0</v>
      </c>
      <c r="J24" s="141">
        <f t="shared" si="3"/>
        <v>0</v>
      </c>
      <c r="K24" s="1054">
        <f t="shared" ref="K24:P25" si="15">SUM(K47,K70,K109)</f>
        <v>0</v>
      </c>
      <c r="L24" s="1055">
        <f t="shared" si="15"/>
        <v>0</v>
      </c>
      <c r="M24" s="1056">
        <f t="shared" si="15"/>
        <v>0</v>
      </c>
      <c r="N24" s="1057">
        <f t="shared" si="15"/>
        <v>0</v>
      </c>
      <c r="O24" s="1058">
        <f t="shared" si="15"/>
        <v>0</v>
      </c>
      <c r="P24" s="1059">
        <f t="shared" si="15"/>
        <v>0</v>
      </c>
    </row>
    <row r="25" spans="2:16" ht="26.25">
      <c r="B25" s="508" t="s">
        <v>135</v>
      </c>
      <c r="C25" s="534" t="s">
        <v>601</v>
      </c>
      <c r="D25" s="1048">
        <f t="shared" si="1"/>
        <v>28.859999999999996</v>
      </c>
      <c r="E25" s="1051">
        <f>SUM(E48,E71,E110)</f>
        <v>0</v>
      </c>
      <c r="F25" s="1053">
        <f t="shared" si="2"/>
        <v>26.452272277024548</v>
      </c>
      <c r="G25" s="1054">
        <f t="shared" si="14"/>
        <v>10.006067626236716</v>
      </c>
      <c r="H25" s="1055">
        <f t="shared" si="14"/>
        <v>3.9017747072187619</v>
      </c>
      <c r="I25" s="1056">
        <f t="shared" si="14"/>
        <v>12.544429943569073</v>
      </c>
      <c r="J25" s="141">
        <f t="shared" si="3"/>
        <v>0</v>
      </c>
      <c r="K25" s="1054">
        <f t="shared" si="15"/>
        <v>0</v>
      </c>
      <c r="L25" s="1055">
        <f t="shared" si="15"/>
        <v>0</v>
      </c>
      <c r="M25" s="1056">
        <f t="shared" si="15"/>
        <v>0</v>
      </c>
      <c r="N25" s="1057">
        <f t="shared" si="15"/>
        <v>0</v>
      </c>
      <c r="O25" s="1058">
        <f t="shared" si="15"/>
        <v>0</v>
      </c>
      <c r="P25" s="1059">
        <f t="shared" si="15"/>
        <v>2.4077277229754488</v>
      </c>
    </row>
    <row r="26" spans="2:16">
      <c r="B26" s="498" t="s">
        <v>274</v>
      </c>
      <c r="C26" s="535" t="s">
        <v>39</v>
      </c>
      <c r="D26" s="1060">
        <f t="shared" si="1"/>
        <v>158.97999999999999</v>
      </c>
      <c r="E26" s="1061">
        <f>SUM(E27:E28)</f>
        <v>13.22</v>
      </c>
      <c r="F26" s="1061">
        <f t="shared" si="2"/>
        <v>0</v>
      </c>
      <c r="G26" s="1062">
        <f>SUM(G27:G28)</f>
        <v>0</v>
      </c>
      <c r="H26" s="1063">
        <f>SUM(H27:H28)</f>
        <v>0</v>
      </c>
      <c r="I26" s="1064">
        <f>SUM(I27:I28)</f>
        <v>0</v>
      </c>
      <c r="J26" s="1065">
        <f t="shared" si="3"/>
        <v>12.767980999999999</v>
      </c>
      <c r="K26" s="1062">
        <f t="shared" ref="K26:P26" si="16">SUM(K27:K28)</f>
        <v>0</v>
      </c>
      <c r="L26" s="1063">
        <f t="shared" si="16"/>
        <v>0</v>
      </c>
      <c r="M26" s="1064">
        <f t="shared" si="16"/>
        <v>12.767980999999999</v>
      </c>
      <c r="N26" s="1066">
        <f t="shared" si="16"/>
        <v>0</v>
      </c>
      <c r="O26" s="1067">
        <f t="shared" si="16"/>
        <v>0</v>
      </c>
      <c r="P26" s="1061">
        <f t="shared" si="16"/>
        <v>132.992019</v>
      </c>
    </row>
    <row r="27" spans="2:16">
      <c r="B27" s="1068" t="s">
        <v>276</v>
      </c>
      <c r="C27" s="544" t="s">
        <v>41</v>
      </c>
      <c r="D27" s="1069">
        <f t="shared" si="1"/>
        <v>13.22</v>
      </c>
      <c r="E27" s="1051">
        <f>SUM(E50,E73,E112)</f>
        <v>13.22</v>
      </c>
      <c r="F27" s="1070">
        <f t="shared" si="2"/>
        <v>0</v>
      </c>
      <c r="G27" s="1071">
        <f t="shared" ref="G27:I28" si="17">SUM(G50,G73,G112)</f>
        <v>0</v>
      </c>
      <c r="H27" s="1072">
        <f t="shared" si="17"/>
        <v>0</v>
      </c>
      <c r="I27" s="1073">
        <f t="shared" si="17"/>
        <v>0</v>
      </c>
      <c r="J27" s="292">
        <f t="shared" si="3"/>
        <v>0</v>
      </c>
      <c r="K27" s="1071">
        <f t="shared" ref="K27:P28" si="18">SUM(K50,K73,K112)</f>
        <v>0</v>
      </c>
      <c r="L27" s="1072">
        <f t="shared" si="18"/>
        <v>0</v>
      </c>
      <c r="M27" s="1073">
        <f t="shared" si="18"/>
        <v>0</v>
      </c>
      <c r="N27" s="1074">
        <f t="shared" si="18"/>
        <v>0</v>
      </c>
      <c r="O27" s="1075">
        <f t="shared" si="18"/>
        <v>0</v>
      </c>
      <c r="P27" s="1076">
        <f t="shared" si="18"/>
        <v>0</v>
      </c>
    </row>
    <row r="28" spans="2:16" ht="26.25">
      <c r="B28" s="1068" t="s">
        <v>278</v>
      </c>
      <c r="C28" s="551" t="s">
        <v>43</v>
      </c>
      <c r="D28" s="1060">
        <f t="shared" si="1"/>
        <v>145.76</v>
      </c>
      <c r="E28" s="1051">
        <f>SUM(E51,E74,E113)</f>
        <v>0</v>
      </c>
      <c r="F28" s="1061">
        <f t="shared" si="2"/>
        <v>0</v>
      </c>
      <c r="G28" s="408">
        <f t="shared" si="17"/>
        <v>0</v>
      </c>
      <c r="H28" s="409">
        <f t="shared" si="17"/>
        <v>0</v>
      </c>
      <c r="I28" s="410">
        <f t="shared" si="17"/>
        <v>0</v>
      </c>
      <c r="J28" s="1065">
        <f t="shared" si="3"/>
        <v>12.767980999999999</v>
      </c>
      <c r="K28" s="408">
        <f t="shared" si="18"/>
        <v>0</v>
      </c>
      <c r="L28" s="409">
        <f t="shared" si="18"/>
        <v>0</v>
      </c>
      <c r="M28" s="410">
        <f t="shared" si="18"/>
        <v>12.767980999999999</v>
      </c>
      <c r="N28" s="1077">
        <f t="shared" si="18"/>
        <v>0</v>
      </c>
      <c r="O28" s="412">
        <f t="shared" si="18"/>
        <v>0</v>
      </c>
      <c r="P28" s="1078">
        <f t="shared" si="18"/>
        <v>132.992019</v>
      </c>
    </row>
    <row r="29" spans="2:16">
      <c r="B29" s="1079" t="s">
        <v>282</v>
      </c>
      <c r="C29" s="555" t="s">
        <v>602</v>
      </c>
      <c r="D29" s="1060">
        <f t="shared" si="1"/>
        <v>0.67999999999999994</v>
      </c>
      <c r="E29" s="1061">
        <f>SUM(E30:E32)</f>
        <v>0.67999999999999994</v>
      </c>
      <c r="F29" s="1061">
        <f t="shared" si="2"/>
        <v>0</v>
      </c>
      <c r="G29" s="1062">
        <f>SUM(G30:G32)</f>
        <v>0</v>
      </c>
      <c r="H29" s="1063">
        <f>SUM(H30:H32)</f>
        <v>0</v>
      </c>
      <c r="I29" s="1064">
        <f>SUM(I30:I32)</f>
        <v>0</v>
      </c>
      <c r="J29" s="1065">
        <f t="shared" si="3"/>
        <v>0</v>
      </c>
      <c r="K29" s="1062">
        <f t="shared" ref="K29:P29" si="19">SUM(K30:K32)</f>
        <v>0</v>
      </c>
      <c r="L29" s="1063">
        <f t="shared" si="19"/>
        <v>0</v>
      </c>
      <c r="M29" s="1064">
        <f t="shared" si="19"/>
        <v>0</v>
      </c>
      <c r="N29" s="1066">
        <f t="shared" si="19"/>
        <v>0</v>
      </c>
      <c r="O29" s="1067">
        <f t="shared" si="19"/>
        <v>0</v>
      </c>
      <c r="P29" s="1061">
        <f t="shared" si="19"/>
        <v>0</v>
      </c>
    </row>
    <row r="30" spans="2:16">
      <c r="B30" s="1080" t="s">
        <v>284</v>
      </c>
      <c r="C30" s="1081" t="s">
        <v>603</v>
      </c>
      <c r="D30" s="1060">
        <f t="shared" si="1"/>
        <v>0</v>
      </c>
      <c r="E30" s="1078">
        <f>SUM(E53,E76,E115)</f>
        <v>0</v>
      </c>
      <c r="F30" s="1061">
        <f t="shared" si="2"/>
        <v>0</v>
      </c>
      <c r="G30" s="408">
        <f t="shared" ref="G30:I32" si="20">SUM(G53,G76,G115)</f>
        <v>0</v>
      </c>
      <c r="H30" s="409">
        <f t="shared" si="20"/>
        <v>0</v>
      </c>
      <c r="I30" s="410">
        <f t="shared" si="20"/>
        <v>0</v>
      </c>
      <c r="J30" s="1065">
        <f t="shared" si="3"/>
        <v>0</v>
      </c>
      <c r="K30" s="408">
        <f t="shared" ref="K30:P32" si="21">SUM(K53,K76,K115)</f>
        <v>0</v>
      </c>
      <c r="L30" s="409">
        <f t="shared" si="21"/>
        <v>0</v>
      </c>
      <c r="M30" s="410">
        <f t="shared" si="21"/>
        <v>0</v>
      </c>
      <c r="N30" s="1077">
        <f t="shared" si="21"/>
        <v>0</v>
      </c>
      <c r="O30" s="412">
        <f t="shared" si="21"/>
        <v>0</v>
      </c>
      <c r="P30" s="1078">
        <f t="shared" si="21"/>
        <v>0</v>
      </c>
    </row>
    <row r="31" spans="2:16">
      <c r="B31" s="1080" t="s">
        <v>604</v>
      </c>
      <c r="C31" s="1081" t="s">
        <v>603</v>
      </c>
      <c r="D31" s="1060">
        <f t="shared" si="1"/>
        <v>0</v>
      </c>
      <c r="E31" s="1078">
        <f>SUM(E54,E77,E116)</f>
        <v>0</v>
      </c>
      <c r="F31" s="1061">
        <f t="shared" si="2"/>
        <v>0</v>
      </c>
      <c r="G31" s="408">
        <f t="shared" si="20"/>
        <v>0</v>
      </c>
      <c r="H31" s="409">
        <f t="shared" si="20"/>
        <v>0</v>
      </c>
      <c r="I31" s="410">
        <f t="shared" si="20"/>
        <v>0</v>
      </c>
      <c r="J31" s="1065">
        <f t="shared" si="3"/>
        <v>0</v>
      </c>
      <c r="K31" s="408">
        <f t="shared" si="21"/>
        <v>0</v>
      </c>
      <c r="L31" s="409">
        <f t="shared" si="21"/>
        <v>0</v>
      </c>
      <c r="M31" s="410">
        <f t="shared" si="21"/>
        <v>0</v>
      </c>
      <c r="N31" s="1077">
        <f t="shared" si="21"/>
        <v>0</v>
      </c>
      <c r="O31" s="412">
        <f t="shared" si="21"/>
        <v>0</v>
      </c>
      <c r="P31" s="1078">
        <f t="shared" si="21"/>
        <v>0</v>
      </c>
    </row>
    <row r="32" spans="2:16" ht="15.75" thickBot="1">
      <c r="B32" s="1082" t="s">
        <v>605</v>
      </c>
      <c r="C32" s="1081" t="s">
        <v>603</v>
      </c>
      <c r="D32" s="1083">
        <f t="shared" si="1"/>
        <v>0.67999999999999994</v>
      </c>
      <c r="E32" s="1084">
        <f>SUM(E55,E78,E117)</f>
        <v>0.67999999999999994</v>
      </c>
      <c r="F32" s="1085">
        <f t="shared" si="2"/>
        <v>0</v>
      </c>
      <c r="G32" s="1086">
        <f t="shared" si="20"/>
        <v>0</v>
      </c>
      <c r="H32" s="1087">
        <f t="shared" si="20"/>
        <v>0</v>
      </c>
      <c r="I32" s="1088">
        <f t="shared" si="20"/>
        <v>0</v>
      </c>
      <c r="J32" s="1089">
        <f t="shared" si="3"/>
        <v>0</v>
      </c>
      <c r="K32" s="1086">
        <f t="shared" si="21"/>
        <v>0</v>
      </c>
      <c r="L32" s="1087">
        <f t="shared" si="21"/>
        <v>0</v>
      </c>
      <c r="M32" s="1088">
        <f t="shared" si="21"/>
        <v>0</v>
      </c>
      <c r="N32" s="1090">
        <f t="shared" si="21"/>
        <v>0</v>
      </c>
      <c r="O32" s="1091">
        <f t="shared" si="21"/>
        <v>0</v>
      </c>
      <c r="P32" s="1084">
        <f t="shared" si="21"/>
        <v>0</v>
      </c>
    </row>
    <row r="33" spans="2:16" ht="16.5" thickTop="1" thickBot="1">
      <c r="B33" s="488" t="s">
        <v>53</v>
      </c>
      <c r="C33" s="488" t="s">
        <v>606</v>
      </c>
      <c r="D33" s="1040">
        <f t="shared" si="1"/>
        <v>4464.78</v>
      </c>
      <c r="E33" s="1041">
        <f t="shared" ref="E33:P33" si="22">E34+E38+E43+E46+E49+E52</f>
        <v>31.490000000000002</v>
      </c>
      <c r="F33" s="1041">
        <f t="shared" si="22"/>
        <v>2566.29</v>
      </c>
      <c r="G33" s="1042">
        <f t="shared" si="22"/>
        <v>690.57999999999993</v>
      </c>
      <c r="H33" s="1043">
        <f t="shared" si="22"/>
        <v>106.02</v>
      </c>
      <c r="I33" s="1044">
        <f t="shared" si="22"/>
        <v>1769.69</v>
      </c>
      <c r="J33" s="1045">
        <f t="shared" si="22"/>
        <v>1725.97</v>
      </c>
      <c r="K33" s="1042">
        <f t="shared" si="22"/>
        <v>1467.97</v>
      </c>
      <c r="L33" s="1043">
        <f t="shared" si="22"/>
        <v>257.33</v>
      </c>
      <c r="M33" s="1044">
        <f t="shared" si="22"/>
        <v>0.67</v>
      </c>
      <c r="N33" s="1046">
        <f t="shared" si="22"/>
        <v>0</v>
      </c>
      <c r="O33" s="1047">
        <f t="shared" si="22"/>
        <v>0</v>
      </c>
      <c r="P33" s="1041">
        <f t="shared" si="22"/>
        <v>141.03</v>
      </c>
    </row>
    <row r="34" spans="2:16" ht="15.75" thickTop="1">
      <c r="B34" s="498" t="s">
        <v>55</v>
      </c>
      <c r="C34" s="499" t="s">
        <v>8</v>
      </c>
      <c r="D34" s="1048">
        <f t="shared" si="1"/>
        <v>15.56</v>
      </c>
      <c r="E34" s="1049">
        <f>SUM(E35:E37)</f>
        <v>15.56</v>
      </c>
      <c r="F34" s="1049">
        <f t="shared" ref="F34:F55" si="23">SUM(G34:I34)</f>
        <v>0</v>
      </c>
      <c r="G34" s="146">
        <f>SUM(G35:G37)</f>
        <v>0</v>
      </c>
      <c r="H34" s="147">
        <f>SUM(H35:H37)</f>
        <v>0</v>
      </c>
      <c r="I34" s="148">
        <f>SUM(I35:I37)</f>
        <v>0</v>
      </c>
      <c r="J34" s="145">
        <f t="shared" ref="J34:J55" si="24">SUM(K34:M34)</f>
        <v>0</v>
      </c>
      <c r="K34" s="146">
        <f t="shared" ref="K34:P34" si="25">SUM(K35:K37)</f>
        <v>0</v>
      </c>
      <c r="L34" s="147">
        <f t="shared" si="25"/>
        <v>0</v>
      </c>
      <c r="M34" s="148">
        <f t="shared" si="25"/>
        <v>0</v>
      </c>
      <c r="N34" s="1050">
        <f t="shared" si="25"/>
        <v>0</v>
      </c>
      <c r="O34" s="144">
        <f t="shared" si="25"/>
        <v>0</v>
      </c>
      <c r="P34" s="1049">
        <f t="shared" si="25"/>
        <v>0</v>
      </c>
    </row>
    <row r="35" spans="2:16">
      <c r="B35" s="508" t="s">
        <v>138</v>
      </c>
      <c r="C35" s="509" t="s">
        <v>10</v>
      </c>
      <c r="D35" s="1048">
        <f t="shared" si="1"/>
        <v>15.56</v>
      </c>
      <c r="E35" s="1092">
        <v>15.56</v>
      </c>
      <c r="F35" s="1049">
        <f t="shared" si="23"/>
        <v>0</v>
      </c>
      <c r="G35" s="308">
        <v>0</v>
      </c>
      <c r="H35" s="309">
        <v>0</v>
      </c>
      <c r="I35" s="310">
        <v>0</v>
      </c>
      <c r="J35" s="145">
        <f t="shared" si="24"/>
        <v>0</v>
      </c>
      <c r="K35" s="308">
        <v>0</v>
      </c>
      <c r="L35" s="309">
        <v>0</v>
      </c>
      <c r="M35" s="310">
        <v>0</v>
      </c>
      <c r="N35" s="571">
        <v>0</v>
      </c>
      <c r="O35" s="1093">
        <v>0</v>
      </c>
      <c r="P35" s="1094">
        <v>0</v>
      </c>
    </row>
    <row r="36" spans="2:16">
      <c r="B36" s="508" t="s">
        <v>140</v>
      </c>
      <c r="C36" s="509" t="s">
        <v>11</v>
      </c>
      <c r="D36" s="1048">
        <f t="shared" si="1"/>
        <v>0</v>
      </c>
      <c r="E36" s="1092">
        <v>0</v>
      </c>
      <c r="F36" s="1049">
        <f t="shared" si="23"/>
        <v>0</v>
      </c>
      <c r="G36" s="308">
        <v>0</v>
      </c>
      <c r="H36" s="309">
        <v>0</v>
      </c>
      <c r="I36" s="310">
        <v>0</v>
      </c>
      <c r="J36" s="145">
        <f t="shared" si="24"/>
        <v>0</v>
      </c>
      <c r="K36" s="308">
        <v>0</v>
      </c>
      <c r="L36" s="309">
        <v>0</v>
      </c>
      <c r="M36" s="310">
        <v>0</v>
      </c>
      <c r="N36" s="571">
        <v>0</v>
      </c>
      <c r="O36" s="1093">
        <v>0</v>
      </c>
      <c r="P36" s="1094">
        <v>0</v>
      </c>
    </row>
    <row r="37" spans="2:16">
      <c r="B37" s="508" t="s">
        <v>607</v>
      </c>
      <c r="C37" s="509" t="s">
        <v>13</v>
      </c>
      <c r="D37" s="1048">
        <f t="shared" si="1"/>
        <v>0</v>
      </c>
      <c r="E37" s="1092">
        <v>0</v>
      </c>
      <c r="F37" s="1049">
        <f t="shared" si="23"/>
        <v>0</v>
      </c>
      <c r="G37" s="308">
        <v>0</v>
      </c>
      <c r="H37" s="309">
        <v>0</v>
      </c>
      <c r="I37" s="310">
        <v>0</v>
      </c>
      <c r="J37" s="145">
        <f t="shared" si="24"/>
        <v>0</v>
      </c>
      <c r="K37" s="308">
        <v>0</v>
      </c>
      <c r="L37" s="309">
        <v>0</v>
      </c>
      <c r="M37" s="310">
        <v>0</v>
      </c>
      <c r="N37" s="571">
        <v>0</v>
      </c>
      <c r="O37" s="1093">
        <v>0</v>
      </c>
      <c r="P37" s="1094">
        <v>0</v>
      </c>
    </row>
    <row r="38" spans="2:16">
      <c r="B38" s="498" t="s">
        <v>141</v>
      </c>
      <c r="C38" s="519" t="s">
        <v>15</v>
      </c>
      <c r="D38" s="1048">
        <f t="shared" si="1"/>
        <v>4384.7299999999996</v>
      </c>
      <c r="E38" s="1049">
        <f>SUM(E39:E42)</f>
        <v>0</v>
      </c>
      <c r="F38" s="1049">
        <f t="shared" si="23"/>
        <v>2541.2399999999998</v>
      </c>
      <c r="G38" s="146">
        <f>SUM(G39:G42)</f>
        <v>682.32999999999993</v>
      </c>
      <c r="H38" s="147">
        <f>SUM(H39:H42)</f>
        <v>100.91999999999999</v>
      </c>
      <c r="I38" s="148">
        <f>SUM(I39:I42)</f>
        <v>1757.99</v>
      </c>
      <c r="J38" s="145">
        <f t="shared" si="24"/>
        <v>1715.81</v>
      </c>
      <c r="K38" s="146">
        <f t="shared" ref="K38:P38" si="26">SUM(K39:K42)</f>
        <v>1462.72</v>
      </c>
      <c r="L38" s="147">
        <f t="shared" si="26"/>
        <v>253.09</v>
      </c>
      <c r="M38" s="148">
        <f t="shared" si="26"/>
        <v>0</v>
      </c>
      <c r="N38" s="1050">
        <f t="shared" si="26"/>
        <v>0</v>
      </c>
      <c r="O38" s="144">
        <f t="shared" si="26"/>
        <v>0</v>
      </c>
      <c r="P38" s="1049">
        <f t="shared" si="26"/>
        <v>127.68</v>
      </c>
    </row>
    <row r="39" spans="2:16">
      <c r="B39" s="508" t="s">
        <v>143</v>
      </c>
      <c r="C39" s="509" t="s">
        <v>17</v>
      </c>
      <c r="D39" s="1048">
        <f t="shared" si="1"/>
        <v>799.93</v>
      </c>
      <c r="E39" s="1092">
        <v>0</v>
      </c>
      <c r="F39" s="1049">
        <f t="shared" si="23"/>
        <v>596.66999999999996</v>
      </c>
      <c r="G39" s="308">
        <v>499.96</v>
      </c>
      <c r="H39" s="309">
        <v>96.71</v>
      </c>
      <c r="I39" s="310">
        <v>0</v>
      </c>
      <c r="J39" s="145">
        <f t="shared" si="24"/>
        <v>203.26000000000002</v>
      </c>
      <c r="K39" s="308">
        <v>8.2100000000000009</v>
      </c>
      <c r="L39" s="309">
        <v>195.05</v>
      </c>
      <c r="M39" s="310">
        <v>0</v>
      </c>
      <c r="N39" s="571">
        <v>0</v>
      </c>
      <c r="O39" s="1093">
        <v>0</v>
      </c>
      <c r="P39" s="1094">
        <v>0</v>
      </c>
    </row>
    <row r="40" spans="2:16">
      <c r="B40" s="508" t="s">
        <v>145</v>
      </c>
      <c r="C40" s="509" t="s">
        <v>597</v>
      </c>
      <c r="D40" s="1048">
        <f t="shared" si="1"/>
        <v>57.86</v>
      </c>
      <c r="E40" s="1092">
        <v>0</v>
      </c>
      <c r="F40" s="1049">
        <f t="shared" si="23"/>
        <v>57.86</v>
      </c>
      <c r="G40" s="308">
        <v>57.86</v>
      </c>
      <c r="H40" s="309">
        <v>0</v>
      </c>
      <c r="I40" s="310">
        <v>0</v>
      </c>
      <c r="J40" s="145">
        <f t="shared" si="24"/>
        <v>0</v>
      </c>
      <c r="K40" s="308">
        <v>0</v>
      </c>
      <c r="L40" s="309">
        <v>0</v>
      </c>
      <c r="M40" s="310">
        <v>0</v>
      </c>
      <c r="N40" s="571">
        <v>0</v>
      </c>
      <c r="O40" s="1093">
        <v>0</v>
      </c>
      <c r="P40" s="1094">
        <v>0</v>
      </c>
    </row>
    <row r="41" spans="2:16">
      <c r="B41" s="508" t="s">
        <v>608</v>
      </c>
      <c r="C41" s="509" t="s">
        <v>23</v>
      </c>
      <c r="D41" s="1048">
        <f t="shared" si="1"/>
        <v>2987.93</v>
      </c>
      <c r="E41" s="1092">
        <v>0</v>
      </c>
      <c r="F41" s="1049">
        <f t="shared" si="23"/>
        <v>1652.15</v>
      </c>
      <c r="G41" s="308">
        <v>0</v>
      </c>
      <c r="H41" s="309">
        <v>0</v>
      </c>
      <c r="I41" s="310">
        <v>1652.15</v>
      </c>
      <c r="J41" s="145">
        <f t="shared" si="24"/>
        <v>1208.0999999999999</v>
      </c>
      <c r="K41" s="308">
        <v>1208.0999999999999</v>
      </c>
      <c r="L41" s="309">
        <v>0</v>
      </c>
      <c r="M41" s="310">
        <v>0</v>
      </c>
      <c r="N41" s="571">
        <v>0</v>
      </c>
      <c r="O41" s="1093">
        <v>0</v>
      </c>
      <c r="P41" s="1094">
        <v>127.68</v>
      </c>
    </row>
    <row r="42" spans="2:16" ht="38.25">
      <c r="B42" s="508" t="s">
        <v>609</v>
      </c>
      <c r="C42" s="509" t="s">
        <v>599</v>
      </c>
      <c r="D42" s="1048">
        <f t="shared" si="1"/>
        <v>539.01</v>
      </c>
      <c r="E42" s="1092">
        <v>0</v>
      </c>
      <c r="F42" s="1049">
        <f t="shared" si="23"/>
        <v>234.56</v>
      </c>
      <c r="G42" s="308">
        <v>124.51</v>
      </c>
      <c r="H42" s="309">
        <v>4.21</v>
      </c>
      <c r="I42" s="310">
        <v>105.84</v>
      </c>
      <c r="J42" s="145">
        <f t="shared" si="24"/>
        <v>304.45</v>
      </c>
      <c r="K42" s="308">
        <v>246.41</v>
      </c>
      <c r="L42" s="309">
        <v>58.04</v>
      </c>
      <c r="M42" s="310">
        <v>0</v>
      </c>
      <c r="N42" s="571">
        <v>0</v>
      </c>
      <c r="O42" s="1093">
        <v>0</v>
      </c>
      <c r="P42" s="1094">
        <v>0</v>
      </c>
    </row>
    <row r="43" spans="2:16">
      <c r="B43" s="498" t="s">
        <v>302</v>
      </c>
      <c r="C43" s="523" t="s">
        <v>27</v>
      </c>
      <c r="D43" s="1048">
        <f t="shared" si="1"/>
        <v>33.42</v>
      </c>
      <c r="E43" s="1049">
        <f>SUM(E44:E45)</f>
        <v>2.2400000000000002</v>
      </c>
      <c r="F43" s="1049">
        <f t="shared" si="23"/>
        <v>21.69</v>
      </c>
      <c r="G43" s="146">
        <f>SUM(G44:G45)</f>
        <v>7.14</v>
      </c>
      <c r="H43" s="147">
        <f>SUM(H44:H45)</f>
        <v>4.34</v>
      </c>
      <c r="I43" s="148">
        <f>SUM(I44:I45)</f>
        <v>10.210000000000001</v>
      </c>
      <c r="J43" s="145">
        <f t="shared" si="24"/>
        <v>9.49</v>
      </c>
      <c r="K43" s="146">
        <f t="shared" ref="K43:P43" si="27">SUM(K44:K45)</f>
        <v>5.25</v>
      </c>
      <c r="L43" s="147">
        <f t="shared" si="27"/>
        <v>4.24</v>
      </c>
      <c r="M43" s="148">
        <f t="shared" si="27"/>
        <v>0</v>
      </c>
      <c r="N43" s="1050">
        <f t="shared" si="27"/>
        <v>0</v>
      </c>
      <c r="O43" s="144">
        <f t="shared" si="27"/>
        <v>0</v>
      </c>
      <c r="P43" s="1049">
        <f t="shared" si="27"/>
        <v>0</v>
      </c>
    </row>
    <row r="44" spans="2:16" ht="51.75">
      <c r="B44" s="508" t="s">
        <v>304</v>
      </c>
      <c r="C44" s="524" t="s">
        <v>29</v>
      </c>
      <c r="D44" s="1048">
        <f t="shared" si="1"/>
        <v>33.42</v>
      </c>
      <c r="E44" s="1092">
        <v>2.2400000000000002</v>
      </c>
      <c r="F44" s="1049">
        <f t="shared" si="23"/>
        <v>21.69</v>
      </c>
      <c r="G44" s="308">
        <v>7.14</v>
      </c>
      <c r="H44" s="309">
        <v>4.34</v>
      </c>
      <c r="I44" s="310">
        <v>10.210000000000001</v>
      </c>
      <c r="J44" s="145">
        <f t="shared" si="24"/>
        <v>9.49</v>
      </c>
      <c r="K44" s="308">
        <v>5.25</v>
      </c>
      <c r="L44" s="309">
        <v>4.24</v>
      </c>
      <c r="M44" s="310">
        <v>0</v>
      </c>
      <c r="N44" s="571">
        <v>0</v>
      </c>
      <c r="O44" s="1093">
        <v>0</v>
      </c>
      <c r="P44" s="1094">
        <v>0</v>
      </c>
    </row>
    <row r="45" spans="2:16">
      <c r="B45" s="508" t="s">
        <v>305</v>
      </c>
      <c r="C45" s="524" t="s">
        <v>31</v>
      </c>
      <c r="D45" s="1048">
        <f t="shared" si="1"/>
        <v>0</v>
      </c>
      <c r="E45" s="1092">
        <v>0</v>
      </c>
      <c r="F45" s="1049">
        <f t="shared" si="23"/>
        <v>0</v>
      </c>
      <c r="G45" s="308">
        <v>0</v>
      </c>
      <c r="H45" s="309">
        <v>0</v>
      </c>
      <c r="I45" s="310">
        <v>0</v>
      </c>
      <c r="J45" s="145">
        <f t="shared" si="24"/>
        <v>0</v>
      </c>
      <c r="K45" s="308">
        <v>0</v>
      </c>
      <c r="L45" s="309">
        <v>0</v>
      </c>
      <c r="M45" s="310">
        <v>0</v>
      </c>
      <c r="N45" s="571">
        <v>0</v>
      </c>
      <c r="O45" s="1093">
        <v>0</v>
      </c>
      <c r="P45" s="1094">
        <v>0</v>
      </c>
    </row>
    <row r="46" spans="2:16">
      <c r="B46" s="498" t="s">
        <v>307</v>
      </c>
      <c r="C46" s="523" t="s">
        <v>33</v>
      </c>
      <c r="D46" s="1048">
        <f t="shared" si="1"/>
        <v>3.5500000000000003</v>
      </c>
      <c r="E46" s="1049">
        <f>SUM(E47:E48)</f>
        <v>0</v>
      </c>
      <c r="F46" s="1049">
        <f t="shared" si="23"/>
        <v>3.3600000000000003</v>
      </c>
      <c r="G46" s="146">
        <f>SUM(G47:G48)</f>
        <v>1.1100000000000001</v>
      </c>
      <c r="H46" s="147">
        <f>SUM(H47:H48)</f>
        <v>0.76</v>
      </c>
      <c r="I46" s="148">
        <f>SUM(I47:I48)</f>
        <v>1.49</v>
      </c>
      <c r="J46" s="145">
        <f t="shared" si="24"/>
        <v>0</v>
      </c>
      <c r="K46" s="146">
        <f t="shared" ref="K46:P46" si="28">SUM(K47:K48)</f>
        <v>0</v>
      </c>
      <c r="L46" s="147">
        <f t="shared" si="28"/>
        <v>0</v>
      </c>
      <c r="M46" s="148">
        <f t="shared" si="28"/>
        <v>0</v>
      </c>
      <c r="N46" s="1050">
        <f t="shared" si="28"/>
        <v>0</v>
      </c>
      <c r="O46" s="144">
        <f t="shared" si="28"/>
        <v>0</v>
      </c>
      <c r="P46" s="1049">
        <f t="shared" si="28"/>
        <v>0.19</v>
      </c>
    </row>
    <row r="47" spans="2:16">
      <c r="B47" s="508" t="s">
        <v>308</v>
      </c>
      <c r="C47" s="524" t="s">
        <v>600</v>
      </c>
      <c r="D47" s="1048">
        <f t="shared" si="1"/>
        <v>0</v>
      </c>
      <c r="E47" s="1092">
        <v>0</v>
      </c>
      <c r="F47" s="1049">
        <f t="shared" si="23"/>
        <v>0</v>
      </c>
      <c r="G47" s="308">
        <v>0</v>
      </c>
      <c r="H47" s="309">
        <v>0</v>
      </c>
      <c r="I47" s="310">
        <v>0</v>
      </c>
      <c r="J47" s="145">
        <f t="shared" si="24"/>
        <v>0</v>
      </c>
      <c r="K47" s="308">
        <v>0</v>
      </c>
      <c r="L47" s="309">
        <v>0</v>
      </c>
      <c r="M47" s="310">
        <v>0</v>
      </c>
      <c r="N47" s="571">
        <v>0</v>
      </c>
      <c r="O47" s="1093">
        <v>0</v>
      </c>
      <c r="P47" s="1094">
        <v>0</v>
      </c>
    </row>
    <row r="48" spans="2:16" ht="26.25">
      <c r="B48" s="508" t="s">
        <v>308</v>
      </c>
      <c r="C48" s="580" t="s">
        <v>601</v>
      </c>
      <c r="D48" s="1048">
        <f t="shared" si="1"/>
        <v>3.5500000000000003</v>
      </c>
      <c r="E48" s="1092">
        <v>0</v>
      </c>
      <c r="F48" s="1049">
        <f t="shared" si="23"/>
        <v>3.3600000000000003</v>
      </c>
      <c r="G48" s="308">
        <v>1.1100000000000001</v>
      </c>
      <c r="H48" s="309">
        <v>0.76</v>
      </c>
      <c r="I48" s="310">
        <v>1.49</v>
      </c>
      <c r="J48" s="145">
        <f t="shared" si="24"/>
        <v>0</v>
      </c>
      <c r="K48" s="308">
        <v>0</v>
      </c>
      <c r="L48" s="309">
        <v>0</v>
      </c>
      <c r="M48" s="310">
        <v>0</v>
      </c>
      <c r="N48" s="571">
        <v>0</v>
      </c>
      <c r="O48" s="1093">
        <v>0</v>
      </c>
      <c r="P48" s="1094">
        <v>0.19</v>
      </c>
    </row>
    <row r="49" spans="2:17">
      <c r="B49" s="498" t="s">
        <v>312</v>
      </c>
      <c r="C49" s="535" t="s">
        <v>39</v>
      </c>
      <c r="D49" s="1060">
        <f t="shared" si="1"/>
        <v>27.05</v>
      </c>
      <c r="E49" s="1061">
        <f>SUM(E50:E51)</f>
        <v>13.22</v>
      </c>
      <c r="F49" s="1061">
        <f t="shared" si="23"/>
        <v>0</v>
      </c>
      <c r="G49" s="1062">
        <f>SUM(G50:G51)</f>
        <v>0</v>
      </c>
      <c r="H49" s="1063">
        <f>SUM(H50:H51)</f>
        <v>0</v>
      </c>
      <c r="I49" s="1064">
        <f>SUM(I50:I51)</f>
        <v>0</v>
      </c>
      <c r="J49" s="1065">
        <f t="shared" si="24"/>
        <v>0.67</v>
      </c>
      <c r="K49" s="1062">
        <f t="shared" ref="K49:P49" si="29">SUM(K50:K51)</f>
        <v>0</v>
      </c>
      <c r="L49" s="1063">
        <f t="shared" si="29"/>
        <v>0</v>
      </c>
      <c r="M49" s="1064">
        <f t="shared" si="29"/>
        <v>0.67</v>
      </c>
      <c r="N49" s="1066">
        <f t="shared" si="29"/>
        <v>0</v>
      </c>
      <c r="O49" s="1067">
        <f t="shared" si="29"/>
        <v>0</v>
      </c>
      <c r="P49" s="1061">
        <f t="shared" si="29"/>
        <v>13.16</v>
      </c>
    </row>
    <row r="50" spans="2:17">
      <c r="B50" s="1068" t="s">
        <v>314</v>
      </c>
      <c r="C50" s="544" t="s">
        <v>41</v>
      </c>
      <c r="D50" s="1069">
        <f t="shared" si="1"/>
        <v>13.22</v>
      </c>
      <c r="E50" s="1092">
        <v>13.22</v>
      </c>
      <c r="F50" s="1049">
        <f t="shared" si="23"/>
        <v>0</v>
      </c>
      <c r="G50" s="308">
        <v>0</v>
      </c>
      <c r="H50" s="309">
        <v>0</v>
      </c>
      <c r="I50" s="310">
        <v>0</v>
      </c>
      <c r="J50" s="1065">
        <f t="shared" si="24"/>
        <v>0</v>
      </c>
      <c r="K50" s="308">
        <v>0</v>
      </c>
      <c r="L50" s="309">
        <v>0</v>
      </c>
      <c r="M50" s="310">
        <v>0</v>
      </c>
      <c r="N50" s="571">
        <v>0</v>
      </c>
      <c r="O50" s="1093">
        <v>0</v>
      </c>
      <c r="P50" s="1094">
        <v>0</v>
      </c>
    </row>
    <row r="51" spans="2:17" ht="26.25">
      <c r="B51" s="1068" t="s">
        <v>316</v>
      </c>
      <c r="C51" s="551" t="s">
        <v>43</v>
      </c>
      <c r="D51" s="1060">
        <f t="shared" si="1"/>
        <v>13.83</v>
      </c>
      <c r="E51" s="1092">
        <v>0</v>
      </c>
      <c r="F51" s="1049">
        <f t="shared" si="23"/>
        <v>0</v>
      </c>
      <c r="G51" s="308">
        <v>0</v>
      </c>
      <c r="H51" s="309">
        <v>0</v>
      </c>
      <c r="I51" s="310">
        <v>0</v>
      </c>
      <c r="J51" s="1065">
        <f t="shared" si="24"/>
        <v>0.67</v>
      </c>
      <c r="K51" s="308">
        <v>0</v>
      </c>
      <c r="L51" s="309">
        <v>0</v>
      </c>
      <c r="M51" s="310">
        <v>0.67</v>
      </c>
      <c r="N51" s="571">
        <v>0</v>
      </c>
      <c r="O51" s="1093">
        <v>0</v>
      </c>
      <c r="P51" s="1094">
        <v>13.16</v>
      </c>
    </row>
    <row r="52" spans="2:17">
      <c r="B52" s="1079" t="s">
        <v>318</v>
      </c>
      <c r="C52" s="555" t="s">
        <v>602</v>
      </c>
      <c r="D52" s="1060">
        <f t="shared" si="1"/>
        <v>0.47</v>
      </c>
      <c r="E52" s="1061">
        <f>SUM(E53:E55)</f>
        <v>0.47</v>
      </c>
      <c r="F52" s="1061">
        <f t="shared" si="23"/>
        <v>0</v>
      </c>
      <c r="G52" s="1062">
        <f>SUM(G53:G55)</f>
        <v>0</v>
      </c>
      <c r="H52" s="1063">
        <f>SUM(H53:H55)</f>
        <v>0</v>
      </c>
      <c r="I52" s="1064">
        <f>SUM(I53:I55)</f>
        <v>0</v>
      </c>
      <c r="J52" s="1065">
        <f t="shared" si="24"/>
        <v>0</v>
      </c>
      <c r="K52" s="1062">
        <f t="shared" ref="K52:P52" si="30">SUM(K53:K55)</f>
        <v>0</v>
      </c>
      <c r="L52" s="1063">
        <f t="shared" si="30"/>
        <v>0</v>
      </c>
      <c r="M52" s="1064">
        <f t="shared" si="30"/>
        <v>0</v>
      </c>
      <c r="N52" s="1066">
        <f t="shared" si="30"/>
        <v>0</v>
      </c>
      <c r="O52" s="1067">
        <f t="shared" si="30"/>
        <v>0</v>
      </c>
      <c r="P52" s="1061">
        <f t="shared" si="30"/>
        <v>0</v>
      </c>
    </row>
    <row r="53" spans="2:17">
      <c r="B53" s="1080" t="s">
        <v>320</v>
      </c>
      <c r="C53" s="1081" t="s">
        <v>603</v>
      </c>
      <c r="D53" s="1060">
        <f t="shared" si="1"/>
        <v>0</v>
      </c>
      <c r="E53" s="1092">
        <v>0</v>
      </c>
      <c r="F53" s="1049">
        <f t="shared" si="23"/>
        <v>0</v>
      </c>
      <c r="G53" s="308">
        <v>0</v>
      </c>
      <c r="H53" s="309">
        <v>0</v>
      </c>
      <c r="I53" s="310">
        <v>0</v>
      </c>
      <c r="J53" s="1065">
        <f t="shared" si="24"/>
        <v>0</v>
      </c>
      <c r="K53" s="308">
        <v>0</v>
      </c>
      <c r="L53" s="309">
        <v>0</v>
      </c>
      <c r="M53" s="310">
        <v>0</v>
      </c>
      <c r="N53" s="571">
        <v>0</v>
      </c>
      <c r="O53" s="1093">
        <v>0</v>
      </c>
      <c r="P53" s="1094">
        <v>0</v>
      </c>
    </row>
    <row r="54" spans="2:17">
      <c r="B54" s="1080" t="s">
        <v>610</v>
      </c>
      <c r="C54" s="1081" t="s">
        <v>603</v>
      </c>
      <c r="D54" s="1060">
        <f t="shared" si="1"/>
        <v>0</v>
      </c>
      <c r="E54" s="1092">
        <v>0</v>
      </c>
      <c r="F54" s="1049">
        <f t="shared" si="23"/>
        <v>0</v>
      </c>
      <c r="G54" s="308">
        <v>0</v>
      </c>
      <c r="H54" s="309">
        <v>0</v>
      </c>
      <c r="I54" s="310">
        <v>0</v>
      </c>
      <c r="J54" s="1065">
        <f t="shared" si="24"/>
        <v>0</v>
      </c>
      <c r="K54" s="308">
        <v>0</v>
      </c>
      <c r="L54" s="309">
        <v>0</v>
      </c>
      <c r="M54" s="310">
        <v>0</v>
      </c>
      <c r="N54" s="571">
        <v>0</v>
      </c>
      <c r="O54" s="1093">
        <v>0</v>
      </c>
      <c r="P54" s="1094">
        <v>0</v>
      </c>
    </row>
    <row r="55" spans="2:17" ht="15.75" thickBot="1">
      <c r="B55" s="1082" t="s">
        <v>611</v>
      </c>
      <c r="C55" s="1081" t="s">
        <v>603</v>
      </c>
      <c r="D55" s="1083">
        <f t="shared" si="1"/>
        <v>0.47</v>
      </c>
      <c r="E55" s="1095">
        <v>0.47</v>
      </c>
      <c r="F55" s="1096">
        <f t="shared" si="23"/>
        <v>0</v>
      </c>
      <c r="G55" s="1097">
        <v>0</v>
      </c>
      <c r="H55" s="1098">
        <v>0</v>
      </c>
      <c r="I55" s="1099">
        <v>0</v>
      </c>
      <c r="J55" s="1065">
        <f t="shared" si="24"/>
        <v>0</v>
      </c>
      <c r="K55" s="1097">
        <v>0</v>
      </c>
      <c r="L55" s="1098">
        <v>0</v>
      </c>
      <c r="M55" s="1099">
        <v>0</v>
      </c>
      <c r="N55" s="1100">
        <v>0</v>
      </c>
      <c r="O55" s="1101">
        <v>0</v>
      </c>
      <c r="P55" s="1102">
        <v>0</v>
      </c>
    </row>
    <row r="56" spans="2:17" ht="16.5" thickTop="1" thickBot="1">
      <c r="B56" s="488" t="s">
        <v>59</v>
      </c>
      <c r="C56" s="488" t="s">
        <v>612</v>
      </c>
      <c r="D56" s="1040">
        <f t="shared" ref="D56:P56" si="31">D57+D61+D66+D69+D72+D75</f>
        <v>171.96</v>
      </c>
      <c r="E56" s="1041">
        <f t="shared" si="31"/>
        <v>0.31201200000000001</v>
      </c>
      <c r="F56" s="1041">
        <f t="shared" si="31"/>
        <v>34.642482999999999</v>
      </c>
      <c r="G56" s="1042">
        <f t="shared" si="31"/>
        <v>15.258698000000001</v>
      </c>
      <c r="H56" s="1043">
        <f t="shared" si="31"/>
        <v>6.6748989999999999</v>
      </c>
      <c r="I56" s="1044">
        <f t="shared" si="31"/>
        <v>12.708886</v>
      </c>
      <c r="J56" s="1045">
        <f t="shared" si="31"/>
        <v>15.086739999999999</v>
      </c>
      <c r="K56" s="1042">
        <f t="shared" si="31"/>
        <v>1.2580469999999999</v>
      </c>
      <c r="L56" s="1043">
        <f t="shared" si="31"/>
        <v>1.730712</v>
      </c>
      <c r="M56" s="1044">
        <f t="shared" si="31"/>
        <v>12.097980999999999</v>
      </c>
      <c r="N56" s="1046">
        <f t="shared" si="31"/>
        <v>0</v>
      </c>
      <c r="O56" s="1047">
        <f t="shared" si="31"/>
        <v>0</v>
      </c>
      <c r="P56" s="1041">
        <f t="shared" si="31"/>
        <v>121.91876500000001</v>
      </c>
      <c r="Q56" s="601"/>
    </row>
    <row r="57" spans="2:17" ht="15.75" thickTop="1">
      <c r="B57" s="498" t="s">
        <v>150</v>
      </c>
      <c r="C57" s="499" t="s">
        <v>8</v>
      </c>
      <c r="D57" s="1048">
        <f>SUM(D58:D60)</f>
        <v>0</v>
      </c>
      <c r="E57" s="1049">
        <f>SUM(E58:E60)</f>
        <v>0</v>
      </c>
      <c r="F57" s="1049">
        <f t="shared" ref="F57:F78" si="32">SUM(G57:I57)</f>
        <v>0</v>
      </c>
      <c r="G57" s="146">
        <f>SUM(G58:G60)</f>
        <v>0</v>
      </c>
      <c r="H57" s="147">
        <f>SUM(H58:H60)</f>
        <v>0</v>
      </c>
      <c r="I57" s="148">
        <f>SUM(I58:I60)</f>
        <v>0</v>
      </c>
      <c r="J57" s="145">
        <f t="shared" ref="J57:J78" si="33">SUM(K57:M57)</f>
        <v>0</v>
      </c>
      <c r="K57" s="146">
        <f t="shared" ref="K57:P57" si="34">SUM(K58:K60)</f>
        <v>0</v>
      </c>
      <c r="L57" s="147">
        <f t="shared" si="34"/>
        <v>0</v>
      </c>
      <c r="M57" s="148">
        <f t="shared" si="34"/>
        <v>0</v>
      </c>
      <c r="N57" s="1050">
        <f t="shared" si="34"/>
        <v>0</v>
      </c>
      <c r="O57" s="144">
        <f t="shared" si="34"/>
        <v>0</v>
      </c>
      <c r="P57" s="1049">
        <f t="shared" si="34"/>
        <v>0</v>
      </c>
    </row>
    <row r="58" spans="2:17">
      <c r="B58" s="508" t="s">
        <v>410</v>
      </c>
      <c r="C58" s="509" t="s">
        <v>10</v>
      </c>
      <c r="D58" s="602">
        <v>0</v>
      </c>
      <c r="E58" s="1051">
        <f>IFERROR($D58*E80/100, 0)</f>
        <v>0</v>
      </c>
      <c r="F58" s="1051">
        <f t="shared" si="32"/>
        <v>0</v>
      </c>
      <c r="G58" s="359">
        <f t="shared" ref="G58:I60" si="35">IFERROR($D58*G80/100, 0)</f>
        <v>0</v>
      </c>
      <c r="H58" s="360">
        <f t="shared" si="35"/>
        <v>0</v>
      </c>
      <c r="I58" s="361">
        <f t="shared" si="35"/>
        <v>0</v>
      </c>
      <c r="J58" s="307">
        <f t="shared" si="33"/>
        <v>0</v>
      </c>
      <c r="K58" s="359">
        <f t="shared" ref="K58:P60" si="36">IFERROR($D58*K80/100, 0)</f>
        <v>0</v>
      </c>
      <c r="L58" s="360">
        <f t="shared" si="36"/>
        <v>0</v>
      </c>
      <c r="M58" s="361">
        <f t="shared" si="36"/>
        <v>0</v>
      </c>
      <c r="N58" s="1052">
        <f t="shared" si="36"/>
        <v>0</v>
      </c>
      <c r="O58" s="358">
        <f t="shared" si="36"/>
        <v>0</v>
      </c>
      <c r="P58" s="1051">
        <f t="shared" si="36"/>
        <v>0</v>
      </c>
    </row>
    <row r="59" spans="2:17">
      <c r="B59" s="508" t="s">
        <v>411</v>
      </c>
      <c r="C59" s="509" t="s">
        <v>11</v>
      </c>
      <c r="D59" s="602">
        <v>0</v>
      </c>
      <c r="E59" s="1051">
        <f>IFERROR($D59*E81/100, 0)</f>
        <v>0</v>
      </c>
      <c r="F59" s="1051">
        <f t="shared" si="32"/>
        <v>0</v>
      </c>
      <c r="G59" s="359">
        <f t="shared" si="35"/>
        <v>0</v>
      </c>
      <c r="H59" s="360">
        <f t="shared" si="35"/>
        <v>0</v>
      </c>
      <c r="I59" s="361">
        <f t="shared" si="35"/>
        <v>0</v>
      </c>
      <c r="J59" s="307">
        <f t="shared" si="33"/>
        <v>0</v>
      </c>
      <c r="K59" s="359">
        <f t="shared" si="36"/>
        <v>0</v>
      </c>
      <c r="L59" s="360">
        <f t="shared" si="36"/>
        <v>0</v>
      </c>
      <c r="M59" s="361">
        <f t="shared" si="36"/>
        <v>0</v>
      </c>
      <c r="N59" s="1052">
        <f t="shared" si="36"/>
        <v>0</v>
      </c>
      <c r="O59" s="358">
        <f t="shared" si="36"/>
        <v>0</v>
      </c>
      <c r="P59" s="1051">
        <f t="shared" si="36"/>
        <v>0</v>
      </c>
    </row>
    <row r="60" spans="2:17">
      <c r="B60" s="508" t="s">
        <v>613</v>
      </c>
      <c r="C60" s="509" t="s">
        <v>13</v>
      </c>
      <c r="D60" s="602">
        <v>0</v>
      </c>
      <c r="E60" s="1051">
        <f>IFERROR($D60*E82/100, 0)</f>
        <v>0</v>
      </c>
      <c r="F60" s="1051">
        <f t="shared" si="32"/>
        <v>0</v>
      </c>
      <c r="G60" s="359">
        <f t="shared" si="35"/>
        <v>0</v>
      </c>
      <c r="H60" s="360">
        <f t="shared" si="35"/>
        <v>0</v>
      </c>
      <c r="I60" s="361">
        <f t="shared" si="35"/>
        <v>0</v>
      </c>
      <c r="J60" s="307">
        <f t="shared" si="33"/>
        <v>0</v>
      </c>
      <c r="K60" s="359">
        <f t="shared" si="36"/>
        <v>0</v>
      </c>
      <c r="L60" s="360">
        <f t="shared" si="36"/>
        <v>0</v>
      </c>
      <c r="M60" s="361">
        <f t="shared" si="36"/>
        <v>0</v>
      </c>
      <c r="N60" s="1052">
        <f t="shared" si="36"/>
        <v>0</v>
      </c>
      <c r="O60" s="358">
        <f t="shared" si="36"/>
        <v>0</v>
      </c>
      <c r="P60" s="1051">
        <f t="shared" si="36"/>
        <v>0</v>
      </c>
    </row>
    <row r="61" spans="2:17">
      <c r="B61" s="498" t="s">
        <v>152</v>
      </c>
      <c r="C61" s="519" t="s">
        <v>15</v>
      </c>
      <c r="D61" s="1048">
        <f>SUM(D62:D65)</f>
        <v>3.45</v>
      </c>
      <c r="E61" s="1049">
        <f>SUM(E62:E65)</f>
        <v>0</v>
      </c>
      <c r="F61" s="1049">
        <f t="shared" si="32"/>
        <v>2.4174150000000001</v>
      </c>
      <c r="G61" s="146">
        <f>SUM(G62:G65)</f>
        <v>2.0258400000000001</v>
      </c>
      <c r="H61" s="147">
        <f>SUM(H62:H65)</f>
        <v>0.39157500000000001</v>
      </c>
      <c r="I61" s="148">
        <f>SUM(I62:I65)</f>
        <v>0</v>
      </c>
      <c r="J61" s="145">
        <f t="shared" si="33"/>
        <v>1.0325850000000001</v>
      </c>
      <c r="K61" s="146">
        <f t="shared" ref="K61:P61" si="37">SUM(K62:K65)</f>
        <v>0.11143500000000001</v>
      </c>
      <c r="L61" s="147">
        <f t="shared" si="37"/>
        <v>0.92115000000000014</v>
      </c>
      <c r="M61" s="148">
        <f t="shared" si="37"/>
        <v>0</v>
      </c>
      <c r="N61" s="1050">
        <f t="shared" si="37"/>
        <v>0</v>
      </c>
      <c r="O61" s="144">
        <f t="shared" si="37"/>
        <v>0</v>
      </c>
      <c r="P61" s="1049">
        <f t="shared" si="37"/>
        <v>0</v>
      </c>
    </row>
    <row r="62" spans="2:17">
      <c r="B62" s="508" t="s">
        <v>154</v>
      </c>
      <c r="C62" s="509" t="s">
        <v>17</v>
      </c>
      <c r="D62" s="602">
        <v>3.45</v>
      </c>
      <c r="E62" s="1051">
        <f>IFERROR($D62*E83/100, 0)</f>
        <v>0</v>
      </c>
      <c r="F62" s="1051">
        <f t="shared" si="32"/>
        <v>2.4174150000000001</v>
      </c>
      <c r="G62" s="359">
        <f t="shared" ref="G62:I65" si="38">IFERROR($D62*G83/100, 0)</f>
        <v>2.0258400000000001</v>
      </c>
      <c r="H62" s="360">
        <f t="shared" si="38"/>
        <v>0.39157500000000001</v>
      </c>
      <c r="I62" s="361">
        <f t="shared" si="38"/>
        <v>0</v>
      </c>
      <c r="J62" s="307">
        <f t="shared" si="33"/>
        <v>1.0325850000000001</v>
      </c>
      <c r="K62" s="359">
        <f t="shared" ref="K62:P65" si="39">IFERROR($D62*K83/100, 0)</f>
        <v>0.11143500000000001</v>
      </c>
      <c r="L62" s="360">
        <f t="shared" si="39"/>
        <v>0.92115000000000014</v>
      </c>
      <c r="M62" s="361">
        <f t="shared" si="39"/>
        <v>0</v>
      </c>
      <c r="N62" s="1052">
        <f t="shared" si="39"/>
        <v>0</v>
      </c>
      <c r="O62" s="358">
        <f t="shared" si="39"/>
        <v>0</v>
      </c>
      <c r="P62" s="1051">
        <f t="shared" si="39"/>
        <v>0</v>
      </c>
    </row>
    <row r="63" spans="2:17">
      <c r="B63" s="508" t="s">
        <v>156</v>
      </c>
      <c r="C63" s="509" t="s">
        <v>597</v>
      </c>
      <c r="D63" s="602">
        <v>0</v>
      </c>
      <c r="E63" s="1051">
        <f>IFERROR($D63*E84/100, 0)</f>
        <v>0</v>
      </c>
      <c r="F63" s="1051">
        <f t="shared" si="32"/>
        <v>0</v>
      </c>
      <c r="G63" s="359">
        <f t="shared" si="38"/>
        <v>0</v>
      </c>
      <c r="H63" s="360">
        <f t="shared" si="38"/>
        <v>0</v>
      </c>
      <c r="I63" s="361">
        <f t="shared" si="38"/>
        <v>0</v>
      </c>
      <c r="J63" s="307">
        <f t="shared" si="33"/>
        <v>0</v>
      </c>
      <c r="K63" s="359">
        <f t="shared" si="39"/>
        <v>0</v>
      </c>
      <c r="L63" s="360">
        <f t="shared" si="39"/>
        <v>0</v>
      </c>
      <c r="M63" s="361">
        <f t="shared" si="39"/>
        <v>0</v>
      </c>
      <c r="N63" s="1052">
        <f t="shared" si="39"/>
        <v>0</v>
      </c>
      <c r="O63" s="358">
        <f t="shared" si="39"/>
        <v>0</v>
      </c>
      <c r="P63" s="1051">
        <f t="shared" si="39"/>
        <v>0</v>
      </c>
    </row>
    <row r="64" spans="2:17">
      <c r="B64" s="508" t="s">
        <v>158</v>
      </c>
      <c r="C64" s="509" t="s">
        <v>23</v>
      </c>
      <c r="D64" s="602">
        <v>0</v>
      </c>
      <c r="E64" s="1051">
        <f>IFERROR($D64*E85/100, 0)</f>
        <v>0</v>
      </c>
      <c r="F64" s="1051">
        <f t="shared" si="32"/>
        <v>0</v>
      </c>
      <c r="G64" s="359">
        <f t="shared" si="38"/>
        <v>0</v>
      </c>
      <c r="H64" s="360">
        <f t="shared" si="38"/>
        <v>0</v>
      </c>
      <c r="I64" s="361">
        <f t="shared" si="38"/>
        <v>0</v>
      </c>
      <c r="J64" s="307">
        <f t="shared" si="33"/>
        <v>0</v>
      </c>
      <c r="K64" s="359">
        <f t="shared" si="39"/>
        <v>0</v>
      </c>
      <c r="L64" s="360">
        <f t="shared" si="39"/>
        <v>0</v>
      </c>
      <c r="M64" s="361">
        <f t="shared" si="39"/>
        <v>0</v>
      </c>
      <c r="N64" s="1052">
        <f t="shared" si="39"/>
        <v>0</v>
      </c>
      <c r="O64" s="358">
        <f t="shared" si="39"/>
        <v>0</v>
      </c>
      <c r="P64" s="1051">
        <f t="shared" si="39"/>
        <v>0</v>
      </c>
    </row>
    <row r="65" spans="2:16" ht="38.25">
      <c r="B65" s="508" t="s">
        <v>614</v>
      </c>
      <c r="C65" s="509" t="s">
        <v>599</v>
      </c>
      <c r="D65" s="602">
        <v>0</v>
      </c>
      <c r="E65" s="1051">
        <f>IFERROR($D65*E86/100, 0)</f>
        <v>0</v>
      </c>
      <c r="F65" s="1051">
        <f t="shared" si="32"/>
        <v>0</v>
      </c>
      <c r="G65" s="359">
        <f t="shared" si="38"/>
        <v>0</v>
      </c>
      <c r="H65" s="360">
        <f t="shared" si="38"/>
        <v>0</v>
      </c>
      <c r="I65" s="361">
        <f t="shared" si="38"/>
        <v>0</v>
      </c>
      <c r="J65" s="307">
        <f t="shared" si="33"/>
        <v>0</v>
      </c>
      <c r="K65" s="359">
        <f t="shared" si="39"/>
        <v>0</v>
      </c>
      <c r="L65" s="360">
        <f t="shared" si="39"/>
        <v>0</v>
      </c>
      <c r="M65" s="361">
        <f t="shared" si="39"/>
        <v>0</v>
      </c>
      <c r="N65" s="1052">
        <f t="shared" si="39"/>
        <v>0</v>
      </c>
      <c r="O65" s="358">
        <f t="shared" si="39"/>
        <v>0</v>
      </c>
      <c r="P65" s="1051">
        <f t="shared" si="39"/>
        <v>0</v>
      </c>
    </row>
    <row r="66" spans="2:16">
      <c r="B66" s="498" t="s">
        <v>160</v>
      </c>
      <c r="C66" s="523" t="s">
        <v>27</v>
      </c>
      <c r="D66" s="1048">
        <f>D67+D68</f>
        <v>12.84</v>
      </c>
      <c r="E66" s="1049">
        <f>E67+E68</f>
        <v>0.31201200000000001</v>
      </c>
      <c r="F66" s="1049">
        <f t="shared" si="32"/>
        <v>10.571814</v>
      </c>
      <c r="G66" s="146">
        <f>G67+G68</f>
        <v>4.8811260000000001</v>
      </c>
      <c r="H66" s="147">
        <f>H67+H68</f>
        <v>3.3538080000000003</v>
      </c>
      <c r="I66" s="148">
        <f>I67+I68</f>
        <v>2.3368799999999998</v>
      </c>
      <c r="J66" s="145">
        <f t="shared" si="33"/>
        <v>1.9561739999999999</v>
      </c>
      <c r="K66" s="146">
        <f t="shared" ref="K66:P66" si="40">K67+K68</f>
        <v>1.146612</v>
      </c>
      <c r="L66" s="147">
        <f t="shared" si="40"/>
        <v>0.809562</v>
      </c>
      <c r="M66" s="148">
        <f t="shared" si="40"/>
        <v>0</v>
      </c>
      <c r="N66" s="1050">
        <f t="shared" si="40"/>
        <v>0</v>
      </c>
      <c r="O66" s="144">
        <f t="shared" si="40"/>
        <v>0</v>
      </c>
      <c r="P66" s="1049">
        <f t="shared" si="40"/>
        <v>0</v>
      </c>
    </row>
    <row r="67" spans="2:16" ht="51.75">
      <c r="B67" s="508" t="s">
        <v>412</v>
      </c>
      <c r="C67" s="524" t="s">
        <v>29</v>
      </c>
      <c r="D67" s="602">
        <v>12.84</v>
      </c>
      <c r="E67" s="1051">
        <f>IFERROR($D67*E87/100, 0)</f>
        <v>0.31201200000000001</v>
      </c>
      <c r="F67" s="1051">
        <f t="shared" si="32"/>
        <v>10.571814</v>
      </c>
      <c r="G67" s="359">
        <f t="shared" ref="G67:I68" si="41">IFERROR($D67*G87/100, 0)</f>
        <v>4.8811260000000001</v>
      </c>
      <c r="H67" s="360">
        <f t="shared" si="41"/>
        <v>3.3538080000000003</v>
      </c>
      <c r="I67" s="361">
        <f t="shared" si="41"/>
        <v>2.3368799999999998</v>
      </c>
      <c r="J67" s="307">
        <f t="shared" si="33"/>
        <v>1.9561739999999999</v>
      </c>
      <c r="K67" s="359">
        <f t="shared" ref="K67:P68" si="42">IFERROR($D67*K87/100, 0)</f>
        <v>1.146612</v>
      </c>
      <c r="L67" s="360">
        <f t="shared" si="42"/>
        <v>0.809562</v>
      </c>
      <c r="M67" s="361">
        <f t="shared" si="42"/>
        <v>0</v>
      </c>
      <c r="N67" s="1052">
        <f t="shared" si="42"/>
        <v>0</v>
      </c>
      <c r="O67" s="358">
        <f t="shared" si="42"/>
        <v>0</v>
      </c>
      <c r="P67" s="1051">
        <f t="shared" si="42"/>
        <v>0</v>
      </c>
    </row>
    <row r="68" spans="2:16">
      <c r="B68" s="508" t="s">
        <v>615</v>
      </c>
      <c r="C68" s="524" t="s">
        <v>31</v>
      </c>
      <c r="D68" s="602">
        <v>0</v>
      </c>
      <c r="E68" s="1051">
        <f>IFERROR($D68*E88/100, 0)</f>
        <v>0</v>
      </c>
      <c r="F68" s="1051">
        <f t="shared" si="32"/>
        <v>0</v>
      </c>
      <c r="G68" s="359">
        <f t="shared" si="41"/>
        <v>0</v>
      </c>
      <c r="H68" s="360">
        <f t="shared" si="41"/>
        <v>0</v>
      </c>
      <c r="I68" s="361">
        <f t="shared" si="41"/>
        <v>0</v>
      </c>
      <c r="J68" s="307">
        <f t="shared" si="33"/>
        <v>0</v>
      </c>
      <c r="K68" s="359">
        <f t="shared" si="42"/>
        <v>0</v>
      </c>
      <c r="L68" s="360">
        <f t="shared" si="42"/>
        <v>0</v>
      </c>
      <c r="M68" s="361">
        <f t="shared" si="42"/>
        <v>0</v>
      </c>
      <c r="N68" s="1052">
        <f t="shared" si="42"/>
        <v>0</v>
      </c>
      <c r="O68" s="358">
        <f t="shared" si="42"/>
        <v>0</v>
      </c>
      <c r="P68" s="1051">
        <f t="shared" si="42"/>
        <v>0</v>
      </c>
    </row>
    <row r="69" spans="2:16">
      <c r="B69" s="498" t="s">
        <v>162</v>
      </c>
      <c r="C69" s="523" t="s">
        <v>33</v>
      </c>
      <c r="D69" s="1048">
        <f>D70+D71</f>
        <v>23.74</v>
      </c>
      <c r="E69" s="1049">
        <f>E70+E71</f>
        <v>0</v>
      </c>
      <c r="F69" s="1049">
        <f t="shared" si="32"/>
        <v>21.653253999999997</v>
      </c>
      <c r="G69" s="146">
        <f>G70+G71</f>
        <v>8.3517320000000002</v>
      </c>
      <c r="H69" s="147">
        <f>H70+H71</f>
        <v>2.929516</v>
      </c>
      <c r="I69" s="148">
        <f>I70+I71</f>
        <v>10.372005999999999</v>
      </c>
      <c r="J69" s="145">
        <f t="shared" si="33"/>
        <v>0</v>
      </c>
      <c r="K69" s="146">
        <f t="shared" ref="K69:P69" si="43">K70+K71</f>
        <v>0</v>
      </c>
      <c r="L69" s="147">
        <f t="shared" si="43"/>
        <v>0</v>
      </c>
      <c r="M69" s="148">
        <f t="shared" si="43"/>
        <v>0</v>
      </c>
      <c r="N69" s="1050">
        <f t="shared" si="43"/>
        <v>0</v>
      </c>
      <c r="O69" s="144">
        <f t="shared" si="43"/>
        <v>0</v>
      </c>
      <c r="P69" s="1049">
        <f t="shared" si="43"/>
        <v>2.0867459999999998</v>
      </c>
    </row>
    <row r="70" spans="2:16">
      <c r="B70" s="508" t="s">
        <v>413</v>
      </c>
      <c r="C70" s="524" t="s">
        <v>600</v>
      </c>
      <c r="D70" s="602">
        <v>0</v>
      </c>
      <c r="E70" s="1051">
        <f>IFERROR($D70*E89/100, 0)</f>
        <v>0</v>
      </c>
      <c r="F70" s="1051">
        <f t="shared" si="32"/>
        <v>0</v>
      </c>
      <c r="G70" s="359">
        <f t="shared" ref="G70:I71" si="44">IFERROR($D70*G89/100, 0)</f>
        <v>0</v>
      </c>
      <c r="H70" s="360">
        <f t="shared" si="44"/>
        <v>0</v>
      </c>
      <c r="I70" s="361">
        <f t="shared" si="44"/>
        <v>0</v>
      </c>
      <c r="J70" s="307">
        <f t="shared" si="33"/>
        <v>0</v>
      </c>
      <c r="K70" s="359">
        <f t="shared" ref="K70:P71" si="45">IFERROR($D70*K89/100, 0)</f>
        <v>0</v>
      </c>
      <c r="L70" s="360">
        <f t="shared" si="45"/>
        <v>0</v>
      </c>
      <c r="M70" s="361">
        <f t="shared" si="45"/>
        <v>0</v>
      </c>
      <c r="N70" s="1052">
        <f t="shared" si="45"/>
        <v>0</v>
      </c>
      <c r="O70" s="358">
        <f t="shared" si="45"/>
        <v>0</v>
      </c>
      <c r="P70" s="1051">
        <f t="shared" si="45"/>
        <v>0</v>
      </c>
    </row>
    <row r="71" spans="2:16" ht="26.25">
      <c r="B71" s="508" t="s">
        <v>414</v>
      </c>
      <c r="C71" s="580" t="s">
        <v>601</v>
      </c>
      <c r="D71" s="602">
        <v>23.74</v>
      </c>
      <c r="E71" s="1051">
        <f>IFERROR($D71*E90/100, 0)</f>
        <v>0</v>
      </c>
      <c r="F71" s="1051">
        <f t="shared" si="32"/>
        <v>21.653253999999997</v>
      </c>
      <c r="G71" s="359">
        <f t="shared" si="44"/>
        <v>8.3517320000000002</v>
      </c>
      <c r="H71" s="360">
        <f t="shared" si="44"/>
        <v>2.929516</v>
      </c>
      <c r="I71" s="361">
        <f t="shared" si="44"/>
        <v>10.372005999999999</v>
      </c>
      <c r="J71" s="307">
        <f t="shared" si="33"/>
        <v>0</v>
      </c>
      <c r="K71" s="359">
        <f t="shared" si="45"/>
        <v>0</v>
      </c>
      <c r="L71" s="360">
        <f t="shared" si="45"/>
        <v>0</v>
      </c>
      <c r="M71" s="361">
        <f t="shared" si="45"/>
        <v>0</v>
      </c>
      <c r="N71" s="1052">
        <f t="shared" si="45"/>
        <v>0</v>
      </c>
      <c r="O71" s="358">
        <f t="shared" si="45"/>
        <v>0</v>
      </c>
      <c r="P71" s="1051">
        <f t="shared" si="45"/>
        <v>2.0867459999999998</v>
      </c>
    </row>
    <row r="72" spans="2:16">
      <c r="B72" s="498" t="s">
        <v>418</v>
      </c>
      <c r="C72" s="535" t="s">
        <v>39</v>
      </c>
      <c r="D72" s="1060">
        <f>D73+D74</f>
        <v>131.93</v>
      </c>
      <c r="E72" s="1061">
        <f>E73+E74</f>
        <v>0</v>
      </c>
      <c r="F72" s="1061">
        <f t="shared" si="32"/>
        <v>0</v>
      </c>
      <c r="G72" s="1062">
        <f>G73+G74</f>
        <v>0</v>
      </c>
      <c r="H72" s="1063">
        <f>H73+H74</f>
        <v>0</v>
      </c>
      <c r="I72" s="1064">
        <f>I73+I74</f>
        <v>0</v>
      </c>
      <c r="J72" s="1065">
        <f t="shared" si="33"/>
        <v>12.097980999999999</v>
      </c>
      <c r="K72" s="1062">
        <f t="shared" ref="K72:P72" si="46">K73+K74</f>
        <v>0</v>
      </c>
      <c r="L72" s="1063">
        <f t="shared" si="46"/>
        <v>0</v>
      </c>
      <c r="M72" s="1064">
        <f t="shared" si="46"/>
        <v>12.097980999999999</v>
      </c>
      <c r="N72" s="1066">
        <f t="shared" si="46"/>
        <v>0</v>
      </c>
      <c r="O72" s="1067">
        <f t="shared" si="46"/>
        <v>0</v>
      </c>
      <c r="P72" s="1061">
        <f t="shared" si="46"/>
        <v>119.832019</v>
      </c>
    </row>
    <row r="73" spans="2:16">
      <c r="B73" s="1068" t="s">
        <v>616</v>
      </c>
      <c r="C73" s="544" t="s">
        <v>41</v>
      </c>
      <c r="D73" s="607">
        <v>0</v>
      </c>
      <c r="E73" s="1051">
        <f>IFERROR($D73*E91/100, 0)</f>
        <v>0</v>
      </c>
      <c r="F73" s="1051">
        <f t="shared" si="32"/>
        <v>0</v>
      </c>
      <c r="G73" s="359">
        <f t="shared" ref="G73:I74" si="47">IFERROR($D73*G91/100, 0)</f>
        <v>0</v>
      </c>
      <c r="H73" s="360">
        <f t="shared" si="47"/>
        <v>0</v>
      </c>
      <c r="I73" s="361">
        <f t="shared" si="47"/>
        <v>0</v>
      </c>
      <c r="J73" s="307">
        <f t="shared" si="33"/>
        <v>0</v>
      </c>
      <c r="K73" s="359">
        <f t="shared" ref="K73:P74" si="48">IFERROR($D73*K91/100, 0)</f>
        <v>0</v>
      </c>
      <c r="L73" s="360">
        <f t="shared" si="48"/>
        <v>0</v>
      </c>
      <c r="M73" s="361">
        <f t="shared" si="48"/>
        <v>0</v>
      </c>
      <c r="N73" s="1052">
        <f t="shared" si="48"/>
        <v>0</v>
      </c>
      <c r="O73" s="358">
        <f t="shared" si="48"/>
        <v>0</v>
      </c>
      <c r="P73" s="1051">
        <f t="shared" si="48"/>
        <v>0</v>
      </c>
    </row>
    <row r="74" spans="2:16" ht="26.25">
      <c r="B74" s="1068" t="s">
        <v>617</v>
      </c>
      <c r="C74" s="551" t="s">
        <v>43</v>
      </c>
      <c r="D74" s="608">
        <v>131.93</v>
      </c>
      <c r="E74" s="1051">
        <f>IFERROR($D74*E92/100, 0)</f>
        <v>0</v>
      </c>
      <c r="F74" s="1051">
        <f t="shared" si="32"/>
        <v>0</v>
      </c>
      <c r="G74" s="359">
        <f t="shared" si="47"/>
        <v>0</v>
      </c>
      <c r="H74" s="360">
        <f t="shared" si="47"/>
        <v>0</v>
      </c>
      <c r="I74" s="361">
        <f t="shared" si="47"/>
        <v>0</v>
      </c>
      <c r="J74" s="307">
        <f t="shared" si="33"/>
        <v>12.097980999999999</v>
      </c>
      <c r="K74" s="359">
        <f t="shared" si="48"/>
        <v>0</v>
      </c>
      <c r="L74" s="360">
        <f t="shared" si="48"/>
        <v>0</v>
      </c>
      <c r="M74" s="361">
        <f t="shared" si="48"/>
        <v>12.097980999999999</v>
      </c>
      <c r="N74" s="1052">
        <f t="shared" si="48"/>
        <v>0</v>
      </c>
      <c r="O74" s="358">
        <f t="shared" si="48"/>
        <v>0</v>
      </c>
      <c r="P74" s="1051">
        <f t="shared" si="48"/>
        <v>119.832019</v>
      </c>
    </row>
    <row r="75" spans="2:16">
      <c r="B75" s="1079" t="s">
        <v>419</v>
      </c>
      <c r="C75" s="555" t="s">
        <v>602</v>
      </c>
      <c r="D75" s="1060">
        <f>D76+D77+D78</f>
        <v>0</v>
      </c>
      <c r="E75" s="1061">
        <f>E76+E77</f>
        <v>0</v>
      </c>
      <c r="F75" s="1061">
        <f t="shared" si="32"/>
        <v>0</v>
      </c>
      <c r="G75" s="1062">
        <f>G76+G77</f>
        <v>0</v>
      </c>
      <c r="H75" s="1063">
        <f>H76+H77</f>
        <v>0</v>
      </c>
      <c r="I75" s="1064">
        <f>I76+I77</f>
        <v>0</v>
      </c>
      <c r="J75" s="1065">
        <f t="shared" si="33"/>
        <v>0</v>
      </c>
      <c r="K75" s="1062">
        <f t="shared" ref="K75:P75" si="49">K76+K77</f>
        <v>0</v>
      </c>
      <c r="L75" s="1063">
        <f t="shared" si="49"/>
        <v>0</v>
      </c>
      <c r="M75" s="1064">
        <f t="shared" si="49"/>
        <v>0</v>
      </c>
      <c r="N75" s="1066">
        <f t="shared" si="49"/>
        <v>0</v>
      </c>
      <c r="O75" s="1067">
        <f t="shared" si="49"/>
        <v>0</v>
      </c>
      <c r="P75" s="1061">
        <f t="shared" si="49"/>
        <v>0</v>
      </c>
    </row>
    <row r="76" spans="2:16">
      <c r="B76" s="1080" t="s">
        <v>420</v>
      </c>
      <c r="C76" s="1081" t="s">
        <v>603</v>
      </c>
      <c r="D76" s="608">
        <v>0</v>
      </c>
      <c r="E76" s="1051">
        <f>IFERROR($D76*E93/100, 0)</f>
        <v>0</v>
      </c>
      <c r="F76" s="1051">
        <f t="shared" si="32"/>
        <v>0</v>
      </c>
      <c r="G76" s="359">
        <f t="shared" ref="G76:I78" si="50">IFERROR($D76*G93/100, 0)</f>
        <v>0</v>
      </c>
      <c r="H76" s="360">
        <f t="shared" si="50"/>
        <v>0</v>
      </c>
      <c r="I76" s="361">
        <f t="shared" si="50"/>
        <v>0</v>
      </c>
      <c r="J76" s="307">
        <f t="shared" si="33"/>
        <v>0</v>
      </c>
      <c r="K76" s="359">
        <f t="shared" ref="K76:P78" si="51">IFERROR($D76*K93/100, 0)</f>
        <v>0</v>
      </c>
      <c r="L76" s="360">
        <f t="shared" si="51"/>
        <v>0</v>
      </c>
      <c r="M76" s="361">
        <f t="shared" si="51"/>
        <v>0</v>
      </c>
      <c r="N76" s="1052">
        <f t="shared" si="51"/>
        <v>0</v>
      </c>
      <c r="O76" s="358">
        <f t="shared" si="51"/>
        <v>0</v>
      </c>
      <c r="P76" s="1051">
        <f t="shared" si="51"/>
        <v>0</v>
      </c>
    </row>
    <row r="77" spans="2:16">
      <c r="B77" s="1068" t="s">
        <v>421</v>
      </c>
      <c r="C77" s="1081" t="s">
        <v>603</v>
      </c>
      <c r="D77" s="608">
        <v>0</v>
      </c>
      <c r="E77" s="1051">
        <f>IFERROR($D77*E94/100, 0)</f>
        <v>0</v>
      </c>
      <c r="F77" s="1051">
        <f t="shared" si="32"/>
        <v>0</v>
      </c>
      <c r="G77" s="359">
        <f t="shared" si="50"/>
        <v>0</v>
      </c>
      <c r="H77" s="360">
        <f t="shared" si="50"/>
        <v>0</v>
      </c>
      <c r="I77" s="361">
        <f t="shared" si="50"/>
        <v>0</v>
      </c>
      <c r="J77" s="307">
        <f t="shared" si="33"/>
        <v>0</v>
      </c>
      <c r="K77" s="359">
        <f t="shared" si="51"/>
        <v>0</v>
      </c>
      <c r="L77" s="360">
        <f t="shared" si="51"/>
        <v>0</v>
      </c>
      <c r="M77" s="361">
        <f t="shared" si="51"/>
        <v>0</v>
      </c>
      <c r="N77" s="1052">
        <f t="shared" si="51"/>
        <v>0</v>
      </c>
      <c r="O77" s="358">
        <f t="shared" si="51"/>
        <v>0</v>
      </c>
      <c r="P77" s="1051">
        <f t="shared" si="51"/>
        <v>0</v>
      </c>
    </row>
    <row r="78" spans="2:16" ht="15.75" thickBot="1">
      <c r="B78" s="1103" t="s">
        <v>422</v>
      </c>
      <c r="C78" s="1081" t="s">
        <v>603</v>
      </c>
      <c r="D78" s="607">
        <v>0</v>
      </c>
      <c r="E78" s="1104">
        <f>IFERROR($D78*E95/100, 0)</f>
        <v>0</v>
      </c>
      <c r="F78" s="1104">
        <f t="shared" si="32"/>
        <v>0</v>
      </c>
      <c r="G78" s="1105">
        <f t="shared" si="50"/>
        <v>0</v>
      </c>
      <c r="H78" s="1106">
        <f t="shared" si="50"/>
        <v>0</v>
      </c>
      <c r="I78" s="1107">
        <f t="shared" si="50"/>
        <v>0</v>
      </c>
      <c r="J78" s="1108">
        <f t="shared" si="33"/>
        <v>0</v>
      </c>
      <c r="K78" s="1105">
        <f t="shared" si="51"/>
        <v>0</v>
      </c>
      <c r="L78" s="1106">
        <f t="shared" si="51"/>
        <v>0</v>
      </c>
      <c r="M78" s="1107">
        <f t="shared" si="51"/>
        <v>0</v>
      </c>
      <c r="N78" s="1109">
        <f t="shared" si="51"/>
        <v>0</v>
      </c>
      <c r="O78" s="1110">
        <f t="shared" si="51"/>
        <v>0</v>
      </c>
      <c r="P78" s="1104">
        <f t="shared" si="51"/>
        <v>0</v>
      </c>
    </row>
    <row r="79" spans="2:16" ht="75" customHeight="1" thickBot="1">
      <c r="B79" s="1028" t="s">
        <v>63</v>
      </c>
      <c r="C79" s="32" t="s">
        <v>618</v>
      </c>
      <c r="D79" s="1111" t="s">
        <v>255</v>
      </c>
      <c r="E79" s="1031" t="s">
        <v>256</v>
      </c>
      <c r="F79" s="1031" t="s">
        <v>257</v>
      </c>
      <c r="G79" s="1112" t="s">
        <v>258</v>
      </c>
      <c r="H79" s="1113" t="s">
        <v>259</v>
      </c>
      <c r="I79" s="1114" t="s">
        <v>260</v>
      </c>
      <c r="J79" s="32" t="s">
        <v>261</v>
      </c>
      <c r="K79" s="1112" t="s">
        <v>262</v>
      </c>
      <c r="L79" s="1113" t="s">
        <v>263</v>
      </c>
      <c r="M79" s="1114" t="s">
        <v>264</v>
      </c>
      <c r="N79" s="1036" t="s">
        <v>619</v>
      </c>
      <c r="O79" s="1037" t="s">
        <v>458</v>
      </c>
      <c r="P79" s="1038" t="s">
        <v>459</v>
      </c>
    </row>
    <row r="80" spans="2:16">
      <c r="B80" s="363" t="s">
        <v>65</v>
      </c>
      <c r="C80" s="1115" t="s">
        <v>620</v>
      </c>
      <c r="D80" s="630">
        <f t="shared" ref="D80:D95" si="52">E80+F80+J80+N80+O80+P80</f>
        <v>100</v>
      </c>
      <c r="E80" s="1116">
        <v>100</v>
      </c>
      <c r="F80" s="632">
        <f t="shared" ref="F80:F95" si="53">SUM(G80:I80)</f>
        <v>0</v>
      </c>
      <c r="G80" s="633">
        <v>0</v>
      </c>
      <c r="H80" s="634">
        <v>0</v>
      </c>
      <c r="I80" s="636">
        <v>0</v>
      </c>
      <c r="J80" s="632">
        <f t="shared" ref="J80:J95" si="54">SUM(K80:M80)</f>
        <v>0</v>
      </c>
      <c r="K80" s="633">
        <v>0</v>
      </c>
      <c r="L80" s="634">
        <v>0</v>
      </c>
      <c r="M80" s="636">
        <v>0</v>
      </c>
      <c r="N80" s="637">
        <v>0</v>
      </c>
      <c r="O80" s="1117">
        <v>0</v>
      </c>
      <c r="P80" s="639">
        <v>0</v>
      </c>
    </row>
    <row r="81" spans="2:17">
      <c r="B81" s="379" t="s">
        <v>69</v>
      </c>
      <c r="C81" s="1118" t="s">
        <v>621</v>
      </c>
      <c r="D81" s="642">
        <f t="shared" si="52"/>
        <v>100</v>
      </c>
      <c r="E81" s="1119">
        <v>100</v>
      </c>
      <c r="F81" s="644">
        <f t="shared" si="53"/>
        <v>0</v>
      </c>
      <c r="G81" s="645">
        <v>0</v>
      </c>
      <c r="H81" s="646">
        <v>0</v>
      </c>
      <c r="I81" s="648">
        <v>0</v>
      </c>
      <c r="J81" s="644">
        <f t="shared" si="54"/>
        <v>0</v>
      </c>
      <c r="K81" s="645">
        <v>0</v>
      </c>
      <c r="L81" s="646">
        <v>0</v>
      </c>
      <c r="M81" s="648">
        <v>0</v>
      </c>
      <c r="N81" s="649">
        <v>0</v>
      </c>
      <c r="O81" s="1120">
        <v>0</v>
      </c>
      <c r="P81" s="651">
        <v>0</v>
      </c>
    </row>
    <row r="82" spans="2:17">
      <c r="B82" s="379" t="s">
        <v>71</v>
      </c>
      <c r="C82" s="1118" t="s">
        <v>622</v>
      </c>
      <c r="D82" s="642">
        <f t="shared" si="52"/>
        <v>100</v>
      </c>
      <c r="E82" s="1119">
        <v>100</v>
      </c>
      <c r="F82" s="644">
        <f t="shared" si="53"/>
        <v>0</v>
      </c>
      <c r="G82" s="645">
        <v>0</v>
      </c>
      <c r="H82" s="646">
        <v>0</v>
      </c>
      <c r="I82" s="648">
        <v>0</v>
      </c>
      <c r="J82" s="644">
        <f t="shared" si="54"/>
        <v>0</v>
      </c>
      <c r="K82" s="645">
        <v>0</v>
      </c>
      <c r="L82" s="646">
        <v>0</v>
      </c>
      <c r="M82" s="648">
        <v>0</v>
      </c>
      <c r="N82" s="649">
        <v>0</v>
      </c>
      <c r="O82" s="1120">
        <v>0</v>
      </c>
      <c r="P82" s="651">
        <v>0</v>
      </c>
    </row>
    <row r="83" spans="2:17">
      <c r="B83" s="381" t="s">
        <v>73</v>
      </c>
      <c r="C83" s="1118" t="s">
        <v>623</v>
      </c>
      <c r="D83" s="642">
        <f t="shared" si="52"/>
        <v>100</v>
      </c>
      <c r="E83" s="1119">
        <v>0</v>
      </c>
      <c r="F83" s="644">
        <f t="shared" si="53"/>
        <v>70.069999999999993</v>
      </c>
      <c r="G83" s="645">
        <v>58.72</v>
      </c>
      <c r="H83" s="646">
        <v>11.35</v>
      </c>
      <c r="I83" s="648">
        <v>0</v>
      </c>
      <c r="J83" s="644">
        <f t="shared" si="54"/>
        <v>29.93</v>
      </c>
      <c r="K83" s="645">
        <v>3.23</v>
      </c>
      <c r="L83" s="646">
        <v>26.7</v>
      </c>
      <c r="M83" s="648">
        <v>0</v>
      </c>
      <c r="N83" s="649">
        <v>0</v>
      </c>
      <c r="O83" s="1120">
        <v>0</v>
      </c>
      <c r="P83" s="651">
        <v>0</v>
      </c>
    </row>
    <row r="84" spans="2:17">
      <c r="B84" s="379" t="s">
        <v>75</v>
      </c>
      <c r="C84" s="1118" t="s">
        <v>624</v>
      </c>
      <c r="D84" s="642">
        <f t="shared" si="52"/>
        <v>100</v>
      </c>
      <c r="E84" s="1119">
        <v>0</v>
      </c>
      <c r="F84" s="644">
        <f t="shared" si="53"/>
        <v>100</v>
      </c>
      <c r="G84" s="645">
        <v>100</v>
      </c>
      <c r="H84" s="646">
        <v>0</v>
      </c>
      <c r="I84" s="648">
        <v>0</v>
      </c>
      <c r="J84" s="644">
        <f t="shared" si="54"/>
        <v>0</v>
      </c>
      <c r="K84" s="645">
        <v>0</v>
      </c>
      <c r="L84" s="646">
        <v>0</v>
      </c>
      <c r="M84" s="648">
        <v>0</v>
      </c>
      <c r="N84" s="649">
        <v>0</v>
      </c>
      <c r="O84" s="1120">
        <v>0</v>
      </c>
      <c r="P84" s="651">
        <v>0</v>
      </c>
    </row>
    <row r="85" spans="2:17">
      <c r="B85" s="379" t="s">
        <v>466</v>
      </c>
      <c r="C85" s="1118" t="s">
        <v>625</v>
      </c>
      <c r="D85" s="642">
        <f t="shared" si="52"/>
        <v>99.999999999999986</v>
      </c>
      <c r="E85" s="1119">
        <v>0</v>
      </c>
      <c r="F85" s="644">
        <f t="shared" si="53"/>
        <v>55.98</v>
      </c>
      <c r="G85" s="645">
        <v>0</v>
      </c>
      <c r="H85" s="646">
        <v>0</v>
      </c>
      <c r="I85" s="648">
        <v>55.98</v>
      </c>
      <c r="J85" s="644">
        <f t="shared" si="54"/>
        <v>40.409999999999997</v>
      </c>
      <c r="K85" s="645">
        <v>40.409999999999997</v>
      </c>
      <c r="L85" s="646">
        <v>0</v>
      </c>
      <c r="M85" s="648">
        <v>0</v>
      </c>
      <c r="N85" s="649">
        <v>0</v>
      </c>
      <c r="O85" s="1120">
        <v>0</v>
      </c>
      <c r="P85" s="651">
        <v>3.61</v>
      </c>
    </row>
    <row r="86" spans="2:17">
      <c r="B86" s="379" t="s">
        <v>470</v>
      </c>
      <c r="C86" s="1118" t="s">
        <v>626</v>
      </c>
      <c r="D86" s="642">
        <f t="shared" si="52"/>
        <v>100</v>
      </c>
      <c r="E86" s="1119">
        <v>0</v>
      </c>
      <c r="F86" s="644">
        <f t="shared" si="53"/>
        <v>38.814999999999998</v>
      </c>
      <c r="G86" s="645">
        <v>15.87</v>
      </c>
      <c r="H86" s="646">
        <v>1.57</v>
      </c>
      <c r="I86" s="648">
        <v>21.375</v>
      </c>
      <c r="J86" s="644">
        <f t="shared" si="54"/>
        <v>61.185000000000002</v>
      </c>
      <c r="K86" s="645">
        <v>48.765000000000001</v>
      </c>
      <c r="L86" s="646">
        <v>12.42</v>
      </c>
      <c r="M86" s="648">
        <v>0</v>
      </c>
      <c r="N86" s="649">
        <v>0</v>
      </c>
      <c r="O86" s="1120">
        <v>0</v>
      </c>
      <c r="P86" s="651">
        <v>0</v>
      </c>
    </row>
    <row r="87" spans="2:17">
      <c r="B87" s="381" t="s">
        <v>474</v>
      </c>
      <c r="C87" s="1118" t="s">
        <v>627</v>
      </c>
      <c r="D87" s="642">
        <f t="shared" si="52"/>
        <v>100.00000000000001</v>
      </c>
      <c r="E87" s="1119">
        <v>2.4300000000000002</v>
      </c>
      <c r="F87" s="644">
        <f t="shared" si="53"/>
        <v>82.335000000000008</v>
      </c>
      <c r="G87" s="645">
        <v>38.015000000000001</v>
      </c>
      <c r="H87" s="646">
        <v>26.12</v>
      </c>
      <c r="I87" s="648">
        <v>18.2</v>
      </c>
      <c r="J87" s="644">
        <f t="shared" si="54"/>
        <v>15.234999999999999</v>
      </c>
      <c r="K87" s="645">
        <v>8.93</v>
      </c>
      <c r="L87" s="646">
        <v>6.3049999999999997</v>
      </c>
      <c r="M87" s="648">
        <v>0</v>
      </c>
      <c r="N87" s="649">
        <v>0</v>
      </c>
      <c r="O87" s="1120">
        <v>0</v>
      </c>
      <c r="P87" s="651">
        <v>0</v>
      </c>
    </row>
    <row r="88" spans="2:17">
      <c r="B88" s="381" t="s">
        <v>478</v>
      </c>
      <c r="C88" s="1118" t="s">
        <v>628</v>
      </c>
      <c r="D88" s="642">
        <f t="shared" si="52"/>
        <v>0</v>
      </c>
      <c r="E88" s="1119">
        <v>0</v>
      </c>
      <c r="F88" s="644">
        <f t="shared" si="53"/>
        <v>0</v>
      </c>
      <c r="G88" s="645">
        <v>0</v>
      </c>
      <c r="H88" s="646">
        <v>0</v>
      </c>
      <c r="I88" s="648">
        <v>0</v>
      </c>
      <c r="J88" s="644">
        <f t="shared" si="54"/>
        <v>0</v>
      </c>
      <c r="K88" s="645">
        <v>0</v>
      </c>
      <c r="L88" s="646">
        <v>0</v>
      </c>
      <c r="M88" s="648">
        <v>0</v>
      </c>
      <c r="N88" s="649">
        <v>0</v>
      </c>
      <c r="O88" s="1120">
        <v>0</v>
      </c>
      <c r="P88" s="651">
        <v>0</v>
      </c>
    </row>
    <row r="89" spans="2:17">
      <c r="B89" s="381" t="s">
        <v>494</v>
      </c>
      <c r="C89" s="1118" t="s">
        <v>629</v>
      </c>
      <c r="D89" s="642">
        <f t="shared" si="52"/>
        <v>0</v>
      </c>
      <c r="E89" s="1119">
        <v>0</v>
      </c>
      <c r="F89" s="644">
        <f t="shared" si="53"/>
        <v>0</v>
      </c>
      <c r="G89" s="645">
        <v>0</v>
      </c>
      <c r="H89" s="646">
        <v>0</v>
      </c>
      <c r="I89" s="648">
        <v>0</v>
      </c>
      <c r="J89" s="644">
        <f t="shared" si="54"/>
        <v>0</v>
      </c>
      <c r="K89" s="645">
        <v>0</v>
      </c>
      <c r="L89" s="646">
        <v>0</v>
      </c>
      <c r="M89" s="648">
        <v>0</v>
      </c>
      <c r="N89" s="649">
        <v>0</v>
      </c>
      <c r="O89" s="1120">
        <v>0</v>
      </c>
      <c r="P89" s="651">
        <v>0</v>
      </c>
    </row>
    <row r="90" spans="2:17">
      <c r="B90" s="381" t="s">
        <v>495</v>
      </c>
      <c r="C90" s="1118" t="s">
        <v>630</v>
      </c>
      <c r="D90" s="642">
        <f t="shared" si="52"/>
        <v>100</v>
      </c>
      <c r="E90" s="1119">
        <v>0</v>
      </c>
      <c r="F90" s="644">
        <f t="shared" si="53"/>
        <v>91.21</v>
      </c>
      <c r="G90" s="645">
        <v>35.18</v>
      </c>
      <c r="H90" s="646">
        <v>12.34</v>
      </c>
      <c r="I90" s="648">
        <v>43.69</v>
      </c>
      <c r="J90" s="644">
        <f t="shared" si="54"/>
        <v>0</v>
      </c>
      <c r="K90" s="645">
        <v>0</v>
      </c>
      <c r="L90" s="646">
        <v>0</v>
      </c>
      <c r="M90" s="648">
        <v>0</v>
      </c>
      <c r="N90" s="649">
        <v>0</v>
      </c>
      <c r="O90" s="1120">
        <v>0</v>
      </c>
      <c r="P90" s="651">
        <v>8.7899999999999991</v>
      </c>
    </row>
    <row r="91" spans="2:17">
      <c r="B91" s="381" t="s">
        <v>631</v>
      </c>
      <c r="C91" s="1118" t="s">
        <v>632</v>
      </c>
      <c r="D91" s="642">
        <f t="shared" si="52"/>
        <v>100</v>
      </c>
      <c r="E91" s="1119">
        <v>100</v>
      </c>
      <c r="F91" s="644">
        <f t="shared" si="53"/>
        <v>0</v>
      </c>
      <c r="G91" s="645">
        <v>0</v>
      </c>
      <c r="H91" s="646">
        <v>0</v>
      </c>
      <c r="I91" s="648">
        <v>0</v>
      </c>
      <c r="J91" s="644">
        <f t="shared" si="54"/>
        <v>0</v>
      </c>
      <c r="K91" s="645">
        <v>0</v>
      </c>
      <c r="L91" s="646">
        <v>0</v>
      </c>
      <c r="M91" s="648">
        <v>0</v>
      </c>
      <c r="N91" s="649">
        <v>0</v>
      </c>
      <c r="O91" s="1120">
        <v>0</v>
      </c>
      <c r="P91" s="651">
        <v>0</v>
      </c>
    </row>
    <row r="92" spans="2:17">
      <c r="B92" s="381" t="s">
        <v>633</v>
      </c>
      <c r="C92" s="1118" t="s">
        <v>634</v>
      </c>
      <c r="D92" s="642">
        <f t="shared" si="52"/>
        <v>100</v>
      </c>
      <c r="E92" s="1119">
        <v>0</v>
      </c>
      <c r="F92" s="644">
        <f t="shared" si="53"/>
        <v>0</v>
      </c>
      <c r="G92" s="645">
        <v>0</v>
      </c>
      <c r="H92" s="646">
        <v>0</v>
      </c>
      <c r="I92" s="648">
        <v>0</v>
      </c>
      <c r="J92" s="644">
        <f t="shared" si="54"/>
        <v>9.17</v>
      </c>
      <c r="K92" s="645">
        <v>0</v>
      </c>
      <c r="L92" s="646">
        <v>0</v>
      </c>
      <c r="M92" s="648">
        <v>9.17</v>
      </c>
      <c r="N92" s="649">
        <v>0</v>
      </c>
      <c r="O92" s="1120">
        <v>0</v>
      </c>
      <c r="P92" s="651">
        <v>90.83</v>
      </c>
    </row>
    <row r="93" spans="2:17">
      <c r="B93" s="379" t="s">
        <v>635</v>
      </c>
      <c r="C93" s="1118" t="s">
        <v>636</v>
      </c>
      <c r="D93" s="642">
        <f t="shared" si="52"/>
        <v>0</v>
      </c>
      <c r="E93" s="1119">
        <v>0</v>
      </c>
      <c r="F93" s="644">
        <f t="shared" si="53"/>
        <v>0</v>
      </c>
      <c r="G93" s="645">
        <v>0</v>
      </c>
      <c r="H93" s="646">
        <v>0</v>
      </c>
      <c r="I93" s="648">
        <v>0</v>
      </c>
      <c r="J93" s="644">
        <f t="shared" si="54"/>
        <v>0</v>
      </c>
      <c r="K93" s="645">
        <v>0</v>
      </c>
      <c r="L93" s="646">
        <v>0</v>
      </c>
      <c r="M93" s="648">
        <v>0</v>
      </c>
      <c r="N93" s="649">
        <v>0</v>
      </c>
      <c r="O93" s="1120">
        <v>0</v>
      </c>
      <c r="P93" s="651">
        <v>0</v>
      </c>
    </row>
    <row r="94" spans="2:17">
      <c r="B94" s="381" t="s">
        <v>637</v>
      </c>
      <c r="C94" s="1121" t="s">
        <v>638</v>
      </c>
      <c r="D94" s="654">
        <f t="shared" si="52"/>
        <v>0</v>
      </c>
      <c r="E94" s="1122">
        <v>0</v>
      </c>
      <c r="F94" s="656">
        <f t="shared" si="53"/>
        <v>0</v>
      </c>
      <c r="G94" s="657">
        <v>0</v>
      </c>
      <c r="H94" s="658">
        <v>0</v>
      </c>
      <c r="I94" s="660">
        <v>0</v>
      </c>
      <c r="J94" s="656">
        <f t="shared" si="54"/>
        <v>0</v>
      </c>
      <c r="K94" s="657">
        <v>0</v>
      </c>
      <c r="L94" s="658">
        <v>0</v>
      </c>
      <c r="M94" s="660">
        <v>0</v>
      </c>
      <c r="N94" s="661">
        <v>0</v>
      </c>
      <c r="O94" s="1123">
        <v>0</v>
      </c>
      <c r="P94" s="663">
        <v>0</v>
      </c>
    </row>
    <row r="95" spans="2:17" ht="15.75" thickBot="1">
      <c r="B95" s="1124" t="s">
        <v>639</v>
      </c>
      <c r="C95" s="1125" t="s">
        <v>640</v>
      </c>
      <c r="D95" s="666">
        <f t="shared" si="52"/>
        <v>100</v>
      </c>
      <c r="E95" s="1126">
        <v>100</v>
      </c>
      <c r="F95" s="1127">
        <f t="shared" si="53"/>
        <v>0</v>
      </c>
      <c r="G95" s="669">
        <v>0</v>
      </c>
      <c r="H95" s="670">
        <v>0</v>
      </c>
      <c r="I95" s="672">
        <v>0</v>
      </c>
      <c r="J95" s="668">
        <f t="shared" si="54"/>
        <v>0</v>
      </c>
      <c r="K95" s="669">
        <v>0</v>
      </c>
      <c r="L95" s="670">
        <v>0</v>
      </c>
      <c r="M95" s="672">
        <v>0</v>
      </c>
      <c r="N95" s="667">
        <v>0</v>
      </c>
      <c r="O95" s="1128">
        <v>0</v>
      </c>
      <c r="P95" s="1126">
        <v>0</v>
      </c>
    </row>
    <row r="96" spans="2:17" ht="16.5" thickTop="1" thickBot="1">
      <c r="B96" s="488" t="s">
        <v>77</v>
      </c>
      <c r="C96" s="488" t="s">
        <v>641</v>
      </c>
      <c r="D96" s="1040">
        <f t="shared" ref="D96:P96" si="55">D97+D101+D106+D108+D111+D114</f>
        <v>43.71</v>
      </c>
      <c r="E96" s="1041">
        <f t="shared" si="55"/>
        <v>0.67529015304798945</v>
      </c>
      <c r="F96" s="1041">
        <f t="shared" si="55"/>
        <v>32.334234890938532</v>
      </c>
      <c r="G96" s="1042">
        <f t="shared" si="55"/>
        <v>25.283230252962333</v>
      </c>
      <c r="H96" s="1043">
        <f t="shared" si="55"/>
        <v>5.408443314381187</v>
      </c>
      <c r="I96" s="1044">
        <f t="shared" si="55"/>
        <v>1.6425613235950127</v>
      </c>
      <c r="J96" s="1045">
        <f t="shared" si="55"/>
        <v>10.569493233038013</v>
      </c>
      <c r="K96" s="1042">
        <f t="shared" si="55"/>
        <v>0.88434244784210936</v>
      </c>
      <c r="L96" s="1043">
        <f t="shared" si="55"/>
        <v>9.6851507851959031</v>
      </c>
      <c r="M96" s="1044">
        <f t="shared" si="55"/>
        <v>0</v>
      </c>
      <c r="N96" s="1046">
        <f t="shared" si="55"/>
        <v>0</v>
      </c>
      <c r="O96" s="1047">
        <f t="shared" si="55"/>
        <v>0</v>
      </c>
      <c r="P96" s="1041">
        <f t="shared" si="55"/>
        <v>0.13098172297544886</v>
      </c>
      <c r="Q96" s="601"/>
    </row>
    <row r="97" spans="2:17" ht="15.75" thickTop="1">
      <c r="B97" s="498" t="s">
        <v>497</v>
      </c>
      <c r="C97" s="499" t="s">
        <v>8</v>
      </c>
      <c r="D97" s="1048">
        <f>SUM(D98:D100)</f>
        <v>0.27</v>
      </c>
      <c r="E97" s="1049">
        <f>SUM(E98:E100)</f>
        <v>0.27</v>
      </c>
      <c r="F97" s="1049">
        <f t="shared" ref="F97:F117" si="56">SUM(G97:I97)</f>
        <v>0</v>
      </c>
      <c r="G97" s="146">
        <f>SUM(G98:G100)</f>
        <v>0</v>
      </c>
      <c r="H97" s="147">
        <f>SUM(H98:H100)</f>
        <v>0</v>
      </c>
      <c r="I97" s="148">
        <f>SUM(I98:I100)</f>
        <v>0</v>
      </c>
      <c r="J97" s="145">
        <f t="shared" ref="J97:J117" si="57">SUM(K97:M97)</f>
        <v>0</v>
      </c>
      <c r="K97" s="146">
        <f t="shared" ref="K97:P97" si="58">SUM(K98:K100)</f>
        <v>0</v>
      </c>
      <c r="L97" s="147">
        <f t="shared" si="58"/>
        <v>0</v>
      </c>
      <c r="M97" s="148">
        <f t="shared" si="58"/>
        <v>0</v>
      </c>
      <c r="N97" s="1050">
        <f t="shared" si="58"/>
        <v>0</v>
      </c>
      <c r="O97" s="144">
        <f t="shared" si="58"/>
        <v>0</v>
      </c>
      <c r="P97" s="1049">
        <f t="shared" si="58"/>
        <v>0</v>
      </c>
      <c r="Q97" s="601"/>
    </row>
    <row r="98" spans="2:17">
      <c r="B98" s="508" t="s">
        <v>498</v>
      </c>
      <c r="C98" s="509" t="s">
        <v>10</v>
      </c>
      <c r="D98" s="602">
        <v>0.27</v>
      </c>
      <c r="E98" s="1051">
        <f>IFERROR($D98*E119/100, 0)</f>
        <v>0.27</v>
      </c>
      <c r="F98" s="1051">
        <f t="shared" si="56"/>
        <v>0</v>
      </c>
      <c r="G98" s="359">
        <f t="shared" ref="G98:I100" si="59">IFERROR($D98*G119/100, 0)</f>
        <v>0</v>
      </c>
      <c r="H98" s="360">
        <f t="shared" si="59"/>
        <v>0</v>
      </c>
      <c r="I98" s="361">
        <f t="shared" si="59"/>
        <v>0</v>
      </c>
      <c r="J98" s="307">
        <f t="shared" si="57"/>
        <v>0</v>
      </c>
      <c r="K98" s="359">
        <f t="shared" ref="K98:P100" si="60">IFERROR($D98*K119/100, 0)</f>
        <v>0</v>
      </c>
      <c r="L98" s="360">
        <f t="shared" si="60"/>
        <v>0</v>
      </c>
      <c r="M98" s="361">
        <f t="shared" si="60"/>
        <v>0</v>
      </c>
      <c r="N98" s="1052">
        <f t="shared" si="60"/>
        <v>0</v>
      </c>
      <c r="O98" s="358">
        <f t="shared" si="60"/>
        <v>0</v>
      </c>
      <c r="P98" s="1051">
        <f t="shared" si="60"/>
        <v>0</v>
      </c>
    </row>
    <row r="99" spans="2:17">
      <c r="B99" s="508" t="s">
        <v>642</v>
      </c>
      <c r="C99" s="509" t="s">
        <v>11</v>
      </c>
      <c r="D99" s="602">
        <v>0</v>
      </c>
      <c r="E99" s="1051">
        <f>IFERROR($D99*E120/100, 0)</f>
        <v>0</v>
      </c>
      <c r="F99" s="1051">
        <f t="shared" si="56"/>
        <v>0</v>
      </c>
      <c r="G99" s="359">
        <f t="shared" si="59"/>
        <v>0</v>
      </c>
      <c r="H99" s="360">
        <f t="shared" si="59"/>
        <v>0</v>
      </c>
      <c r="I99" s="361">
        <f t="shared" si="59"/>
        <v>0</v>
      </c>
      <c r="J99" s="307">
        <f t="shared" si="57"/>
        <v>0</v>
      </c>
      <c r="K99" s="359">
        <f t="shared" si="60"/>
        <v>0</v>
      </c>
      <c r="L99" s="360">
        <f t="shared" si="60"/>
        <v>0</v>
      </c>
      <c r="M99" s="361">
        <f t="shared" si="60"/>
        <v>0</v>
      </c>
      <c r="N99" s="1052">
        <f t="shared" si="60"/>
        <v>0</v>
      </c>
      <c r="O99" s="358">
        <f t="shared" si="60"/>
        <v>0</v>
      </c>
      <c r="P99" s="1051">
        <f t="shared" si="60"/>
        <v>0</v>
      </c>
    </row>
    <row r="100" spans="2:17">
      <c r="B100" s="508" t="s">
        <v>643</v>
      </c>
      <c r="C100" s="509" t="s">
        <v>13</v>
      </c>
      <c r="D100" s="602">
        <v>0</v>
      </c>
      <c r="E100" s="1051">
        <f>IFERROR($D100*E121/100, 0)</f>
        <v>0</v>
      </c>
      <c r="F100" s="1051">
        <f t="shared" si="56"/>
        <v>0</v>
      </c>
      <c r="G100" s="359">
        <f t="shared" si="59"/>
        <v>0</v>
      </c>
      <c r="H100" s="360">
        <f t="shared" si="59"/>
        <v>0</v>
      </c>
      <c r="I100" s="361">
        <f t="shared" si="59"/>
        <v>0</v>
      </c>
      <c r="J100" s="307">
        <f t="shared" si="57"/>
        <v>0</v>
      </c>
      <c r="K100" s="359">
        <f t="shared" si="60"/>
        <v>0</v>
      </c>
      <c r="L100" s="360">
        <f t="shared" si="60"/>
        <v>0</v>
      </c>
      <c r="M100" s="361">
        <f t="shared" si="60"/>
        <v>0</v>
      </c>
      <c r="N100" s="1052">
        <f t="shared" si="60"/>
        <v>0</v>
      </c>
      <c r="O100" s="358">
        <f t="shared" si="60"/>
        <v>0</v>
      </c>
      <c r="P100" s="1051">
        <f t="shared" si="60"/>
        <v>0</v>
      </c>
    </row>
    <row r="101" spans="2:17">
      <c r="B101" s="498" t="s">
        <v>171</v>
      </c>
      <c r="C101" s="519" t="s">
        <v>15</v>
      </c>
      <c r="D101" s="1048">
        <f>SUM(D102:D105)</f>
        <v>38.119999999999997</v>
      </c>
      <c r="E101" s="1049">
        <f>SUM(E102:E105)</f>
        <v>0</v>
      </c>
      <c r="F101" s="1049">
        <f t="shared" si="56"/>
        <v>28.426413726754451</v>
      </c>
      <c r="G101" s="146">
        <f>SUM(G102:G105)</f>
        <v>23.81899004306803</v>
      </c>
      <c r="H101" s="147">
        <f>SUM(H102:H105)</f>
        <v>4.6074236836864193</v>
      </c>
      <c r="I101" s="148">
        <f>SUM(I102:I105)</f>
        <v>0</v>
      </c>
      <c r="J101" s="145">
        <f t="shared" si="57"/>
        <v>9.6935862732455362</v>
      </c>
      <c r="K101" s="146">
        <f t="shared" ref="K101:P101" si="61">SUM(K102:K105)</f>
        <v>0.39484814434016285</v>
      </c>
      <c r="L101" s="147">
        <f t="shared" si="61"/>
        <v>9.2987381289053737</v>
      </c>
      <c r="M101" s="148">
        <f t="shared" si="61"/>
        <v>0</v>
      </c>
      <c r="N101" s="1050">
        <f t="shared" si="61"/>
        <v>0</v>
      </c>
      <c r="O101" s="144">
        <f t="shared" si="61"/>
        <v>0</v>
      </c>
      <c r="P101" s="1049">
        <f t="shared" si="61"/>
        <v>0</v>
      </c>
      <c r="Q101" s="601"/>
    </row>
    <row r="102" spans="2:17">
      <c r="B102" s="508" t="s">
        <v>500</v>
      </c>
      <c r="C102" s="509" t="s">
        <v>17</v>
      </c>
      <c r="D102" s="602">
        <v>38.119999999999997</v>
      </c>
      <c r="E102" s="1051">
        <f>IFERROR($D102*E122/100, 0)</f>
        <v>0</v>
      </c>
      <c r="F102" s="1051">
        <f t="shared" si="56"/>
        <v>28.426413726754451</v>
      </c>
      <c r="G102" s="359">
        <f t="shared" ref="G102:I105" si="62">IFERROR($D102*G122/100, 0)</f>
        <v>23.81899004306803</v>
      </c>
      <c r="H102" s="360">
        <f t="shared" si="62"/>
        <v>4.6074236836864193</v>
      </c>
      <c r="I102" s="361">
        <f t="shared" si="62"/>
        <v>0</v>
      </c>
      <c r="J102" s="307">
        <f t="shared" si="57"/>
        <v>9.6935862732455362</v>
      </c>
      <c r="K102" s="359">
        <f t="shared" ref="K102:P105" si="63">IFERROR($D102*K122/100, 0)</f>
        <v>0.39484814434016285</v>
      </c>
      <c r="L102" s="360">
        <f t="shared" si="63"/>
        <v>9.2987381289053737</v>
      </c>
      <c r="M102" s="361">
        <f t="shared" si="63"/>
        <v>0</v>
      </c>
      <c r="N102" s="1052">
        <f t="shared" si="63"/>
        <v>0</v>
      </c>
      <c r="O102" s="358">
        <f t="shared" si="63"/>
        <v>0</v>
      </c>
      <c r="P102" s="1051">
        <f t="shared" si="63"/>
        <v>0</v>
      </c>
    </row>
    <row r="103" spans="2:17">
      <c r="B103" s="508" t="s">
        <v>502</v>
      </c>
      <c r="C103" s="509" t="s">
        <v>597</v>
      </c>
      <c r="D103" s="602">
        <v>0</v>
      </c>
      <c r="E103" s="1051">
        <f>IFERROR($D103*E123/100, 0)</f>
        <v>0</v>
      </c>
      <c r="F103" s="1051">
        <f t="shared" si="56"/>
        <v>0</v>
      </c>
      <c r="G103" s="359">
        <f t="shared" si="62"/>
        <v>0</v>
      </c>
      <c r="H103" s="360">
        <f t="shared" si="62"/>
        <v>0</v>
      </c>
      <c r="I103" s="361">
        <f t="shared" si="62"/>
        <v>0</v>
      </c>
      <c r="J103" s="307">
        <f t="shared" si="57"/>
        <v>0</v>
      </c>
      <c r="K103" s="359">
        <f t="shared" si="63"/>
        <v>0</v>
      </c>
      <c r="L103" s="360">
        <f t="shared" si="63"/>
        <v>0</v>
      </c>
      <c r="M103" s="361">
        <f t="shared" si="63"/>
        <v>0</v>
      </c>
      <c r="N103" s="1052">
        <f t="shared" si="63"/>
        <v>0</v>
      </c>
      <c r="O103" s="358">
        <f t="shared" si="63"/>
        <v>0</v>
      </c>
      <c r="P103" s="1051">
        <f t="shared" si="63"/>
        <v>0</v>
      </c>
    </row>
    <row r="104" spans="2:17">
      <c r="B104" s="508" t="s">
        <v>644</v>
      </c>
      <c r="C104" s="509" t="s">
        <v>23</v>
      </c>
      <c r="D104" s="602">
        <v>0</v>
      </c>
      <c r="E104" s="1051">
        <f>IFERROR($D104*E124/100, 0)</f>
        <v>0</v>
      </c>
      <c r="F104" s="1051">
        <f t="shared" si="56"/>
        <v>0</v>
      </c>
      <c r="G104" s="359">
        <f t="shared" si="62"/>
        <v>0</v>
      </c>
      <c r="H104" s="360">
        <f t="shared" si="62"/>
        <v>0</v>
      </c>
      <c r="I104" s="361">
        <f t="shared" si="62"/>
        <v>0</v>
      </c>
      <c r="J104" s="307">
        <f t="shared" si="57"/>
        <v>0</v>
      </c>
      <c r="K104" s="359">
        <f t="shared" si="63"/>
        <v>0</v>
      </c>
      <c r="L104" s="360">
        <f t="shared" si="63"/>
        <v>0</v>
      </c>
      <c r="M104" s="361">
        <f t="shared" si="63"/>
        <v>0</v>
      </c>
      <c r="N104" s="1052">
        <f t="shared" si="63"/>
        <v>0</v>
      </c>
      <c r="O104" s="358">
        <f t="shared" si="63"/>
        <v>0</v>
      </c>
      <c r="P104" s="1051">
        <f t="shared" si="63"/>
        <v>0</v>
      </c>
    </row>
    <row r="105" spans="2:17">
      <c r="B105" s="508" t="s">
        <v>645</v>
      </c>
      <c r="C105" s="509" t="s">
        <v>646</v>
      </c>
      <c r="D105" s="602">
        <v>0</v>
      </c>
      <c r="E105" s="1051">
        <f>IFERROR($D105*E125/100, 0)</f>
        <v>0</v>
      </c>
      <c r="F105" s="1051">
        <f t="shared" si="56"/>
        <v>0</v>
      </c>
      <c r="G105" s="359">
        <f t="shared" si="62"/>
        <v>0</v>
      </c>
      <c r="H105" s="360">
        <f t="shared" si="62"/>
        <v>0</v>
      </c>
      <c r="I105" s="361">
        <f t="shared" si="62"/>
        <v>0</v>
      </c>
      <c r="J105" s="307">
        <f t="shared" si="57"/>
        <v>0</v>
      </c>
      <c r="K105" s="359">
        <f t="shared" si="63"/>
        <v>0</v>
      </c>
      <c r="L105" s="360">
        <f t="shared" si="63"/>
        <v>0</v>
      </c>
      <c r="M105" s="361">
        <f t="shared" si="63"/>
        <v>0</v>
      </c>
      <c r="N105" s="1052">
        <f t="shared" si="63"/>
        <v>0</v>
      </c>
      <c r="O105" s="358">
        <f t="shared" si="63"/>
        <v>0</v>
      </c>
      <c r="P105" s="1051">
        <f t="shared" si="63"/>
        <v>0</v>
      </c>
    </row>
    <row r="106" spans="2:17">
      <c r="B106" s="498" t="s">
        <v>173</v>
      </c>
      <c r="C106" s="523" t="s">
        <v>27</v>
      </c>
      <c r="D106" s="1048">
        <f>D107</f>
        <v>3.54</v>
      </c>
      <c r="E106" s="1049">
        <f>E107</f>
        <v>0.1952901530479895</v>
      </c>
      <c r="F106" s="1049">
        <f t="shared" si="56"/>
        <v>2.46880288715953</v>
      </c>
      <c r="G106" s="146">
        <f>G107</f>
        <v>0.91990458365758598</v>
      </c>
      <c r="H106" s="147">
        <f>H107</f>
        <v>0.58876092347600528</v>
      </c>
      <c r="I106" s="148">
        <f>I107</f>
        <v>0.96013738002593896</v>
      </c>
      <c r="J106" s="145">
        <f t="shared" si="57"/>
        <v>0.8759069597924769</v>
      </c>
      <c r="K106" s="146">
        <f t="shared" ref="K106:P106" si="64">K107</f>
        <v>0.48949430350194656</v>
      </c>
      <c r="L106" s="147">
        <f t="shared" si="64"/>
        <v>0.38641265629053029</v>
      </c>
      <c r="M106" s="148">
        <f t="shared" si="64"/>
        <v>0</v>
      </c>
      <c r="N106" s="1050">
        <f t="shared" si="64"/>
        <v>0</v>
      </c>
      <c r="O106" s="144">
        <f t="shared" si="64"/>
        <v>0</v>
      </c>
      <c r="P106" s="1049">
        <f t="shared" si="64"/>
        <v>0</v>
      </c>
      <c r="Q106" s="601"/>
    </row>
    <row r="107" spans="2:17">
      <c r="B107" s="508" t="s">
        <v>503</v>
      </c>
      <c r="C107" s="524" t="s">
        <v>647</v>
      </c>
      <c r="D107" s="602">
        <v>3.54</v>
      </c>
      <c r="E107" s="1051">
        <f>IFERROR($D107*E126/100, 0)</f>
        <v>0.1952901530479895</v>
      </c>
      <c r="F107" s="1051">
        <f t="shared" si="56"/>
        <v>2.46880288715953</v>
      </c>
      <c r="G107" s="359">
        <f>IFERROR($D107*G126/100, 0)</f>
        <v>0.91990458365758598</v>
      </c>
      <c r="H107" s="360">
        <f>IFERROR($D107*H126/100, 0)</f>
        <v>0.58876092347600528</v>
      </c>
      <c r="I107" s="361">
        <f>IFERROR($D107*I126/100, 0)</f>
        <v>0.96013738002593896</v>
      </c>
      <c r="J107" s="307">
        <f t="shared" si="57"/>
        <v>0.8759069597924769</v>
      </c>
      <c r="K107" s="359">
        <f t="shared" ref="K107:P107" si="65">IFERROR($D107*K126/100, 0)</f>
        <v>0.48949430350194656</v>
      </c>
      <c r="L107" s="360">
        <f t="shared" si="65"/>
        <v>0.38641265629053029</v>
      </c>
      <c r="M107" s="361">
        <f t="shared" si="65"/>
        <v>0</v>
      </c>
      <c r="N107" s="1052">
        <f t="shared" si="65"/>
        <v>0</v>
      </c>
      <c r="O107" s="358">
        <f t="shared" si="65"/>
        <v>0</v>
      </c>
      <c r="P107" s="1051">
        <f t="shared" si="65"/>
        <v>0</v>
      </c>
    </row>
    <row r="108" spans="2:17">
      <c r="B108" s="498" t="s">
        <v>175</v>
      </c>
      <c r="C108" s="523" t="s">
        <v>33</v>
      </c>
      <c r="D108" s="1048">
        <f>D109+D110</f>
        <v>1.57</v>
      </c>
      <c r="E108" s="1049">
        <f>E109+E110</f>
        <v>0</v>
      </c>
      <c r="F108" s="1049">
        <f t="shared" si="56"/>
        <v>1.4390182770245517</v>
      </c>
      <c r="G108" s="146">
        <f>G109+G110</f>
        <v>0.54433562623671639</v>
      </c>
      <c r="H108" s="147">
        <f>H109+H110</f>
        <v>0.21225870721876164</v>
      </c>
      <c r="I108" s="148">
        <f>I109+I110</f>
        <v>0.68242394356907365</v>
      </c>
      <c r="J108" s="145">
        <f t="shared" si="57"/>
        <v>0</v>
      </c>
      <c r="K108" s="146">
        <f t="shared" ref="K108:P108" si="66">K109+K110</f>
        <v>0</v>
      </c>
      <c r="L108" s="147">
        <f t="shared" si="66"/>
        <v>0</v>
      </c>
      <c r="M108" s="148">
        <f t="shared" si="66"/>
        <v>0</v>
      </c>
      <c r="N108" s="1050">
        <f t="shared" si="66"/>
        <v>0</v>
      </c>
      <c r="O108" s="144">
        <f t="shared" si="66"/>
        <v>0</v>
      </c>
      <c r="P108" s="1049">
        <f t="shared" si="66"/>
        <v>0.13098172297544886</v>
      </c>
      <c r="Q108" s="601"/>
    </row>
    <row r="109" spans="2:17">
      <c r="B109" s="508" t="s">
        <v>504</v>
      </c>
      <c r="C109" s="524" t="s">
        <v>600</v>
      </c>
      <c r="D109" s="602">
        <v>0</v>
      </c>
      <c r="E109" s="1051">
        <f>IFERROR($D109*E127/100, 0)</f>
        <v>0</v>
      </c>
      <c r="F109" s="1051">
        <f t="shared" si="56"/>
        <v>0</v>
      </c>
      <c r="G109" s="359">
        <f t="shared" ref="G109:I110" si="67">IFERROR($D109*G127/100, 0)</f>
        <v>0</v>
      </c>
      <c r="H109" s="360">
        <f t="shared" si="67"/>
        <v>0</v>
      </c>
      <c r="I109" s="361">
        <f t="shared" si="67"/>
        <v>0</v>
      </c>
      <c r="J109" s="307">
        <f t="shared" si="57"/>
        <v>0</v>
      </c>
      <c r="K109" s="359">
        <f t="shared" ref="K109:P110" si="68">IFERROR($D109*K127/100, 0)</f>
        <v>0</v>
      </c>
      <c r="L109" s="360">
        <f t="shared" si="68"/>
        <v>0</v>
      </c>
      <c r="M109" s="361">
        <f t="shared" si="68"/>
        <v>0</v>
      </c>
      <c r="N109" s="1052">
        <f t="shared" si="68"/>
        <v>0</v>
      </c>
      <c r="O109" s="358">
        <f t="shared" si="68"/>
        <v>0</v>
      </c>
      <c r="P109" s="1051">
        <f t="shared" si="68"/>
        <v>0</v>
      </c>
    </row>
    <row r="110" spans="2:17" ht="26.25">
      <c r="B110" s="508" t="s">
        <v>505</v>
      </c>
      <c r="C110" s="580" t="s">
        <v>601</v>
      </c>
      <c r="D110" s="602">
        <v>1.57</v>
      </c>
      <c r="E110" s="1051">
        <f>IFERROR($D110*E128/100, 0)</f>
        <v>0</v>
      </c>
      <c r="F110" s="1051">
        <f t="shared" si="56"/>
        <v>1.4390182770245517</v>
      </c>
      <c r="G110" s="359">
        <f t="shared" si="67"/>
        <v>0.54433562623671639</v>
      </c>
      <c r="H110" s="360">
        <f t="shared" si="67"/>
        <v>0.21225870721876164</v>
      </c>
      <c r="I110" s="361">
        <f t="shared" si="67"/>
        <v>0.68242394356907365</v>
      </c>
      <c r="J110" s="307">
        <f t="shared" si="57"/>
        <v>0</v>
      </c>
      <c r="K110" s="359">
        <f t="shared" si="68"/>
        <v>0</v>
      </c>
      <c r="L110" s="360">
        <f t="shared" si="68"/>
        <v>0</v>
      </c>
      <c r="M110" s="361">
        <f t="shared" si="68"/>
        <v>0</v>
      </c>
      <c r="N110" s="1052">
        <f t="shared" si="68"/>
        <v>0</v>
      </c>
      <c r="O110" s="358">
        <f t="shared" si="68"/>
        <v>0</v>
      </c>
      <c r="P110" s="1051">
        <f t="shared" si="68"/>
        <v>0.13098172297544886</v>
      </c>
    </row>
    <row r="111" spans="2:17">
      <c r="B111" s="498" t="s">
        <v>177</v>
      </c>
      <c r="C111" s="535" t="s">
        <v>39</v>
      </c>
      <c r="D111" s="1060">
        <f>D112+D113</f>
        <v>0</v>
      </c>
      <c r="E111" s="1061">
        <f>E112+E113</f>
        <v>0</v>
      </c>
      <c r="F111" s="1061">
        <f t="shared" si="56"/>
        <v>0</v>
      </c>
      <c r="G111" s="1062">
        <f>G112+G113</f>
        <v>0</v>
      </c>
      <c r="H111" s="1063">
        <f>H112+H113</f>
        <v>0</v>
      </c>
      <c r="I111" s="1064">
        <f>I112+I113</f>
        <v>0</v>
      </c>
      <c r="J111" s="1065">
        <f t="shared" si="57"/>
        <v>0</v>
      </c>
      <c r="K111" s="1062">
        <f t="shared" ref="K111:P111" si="69">K112+K113</f>
        <v>0</v>
      </c>
      <c r="L111" s="1063">
        <f t="shared" si="69"/>
        <v>0</v>
      </c>
      <c r="M111" s="1064">
        <f t="shared" si="69"/>
        <v>0</v>
      </c>
      <c r="N111" s="1066">
        <f t="shared" si="69"/>
        <v>0</v>
      </c>
      <c r="O111" s="1067">
        <f t="shared" si="69"/>
        <v>0</v>
      </c>
      <c r="P111" s="1061">
        <f t="shared" si="69"/>
        <v>0</v>
      </c>
      <c r="Q111" s="601"/>
    </row>
    <row r="112" spans="2:17">
      <c r="B112" s="1068" t="s">
        <v>648</v>
      </c>
      <c r="C112" s="544" t="s">
        <v>41</v>
      </c>
      <c r="D112" s="607">
        <v>0</v>
      </c>
      <c r="E112" s="1051">
        <f>IFERROR($D112*E129/100, 0)</f>
        <v>0</v>
      </c>
      <c r="F112" s="1051">
        <f t="shared" si="56"/>
        <v>0</v>
      </c>
      <c r="G112" s="359">
        <f t="shared" ref="G112:I113" si="70">IFERROR($D112*G129/100, 0)</f>
        <v>0</v>
      </c>
      <c r="H112" s="360">
        <f t="shared" si="70"/>
        <v>0</v>
      </c>
      <c r="I112" s="361">
        <f t="shared" si="70"/>
        <v>0</v>
      </c>
      <c r="J112" s="307">
        <f t="shared" si="57"/>
        <v>0</v>
      </c>
      <c r="K112" s="359">
        <f t="shared" ref="K112:P113" si="71">IFERROR($D112*K129/100, 0)</f>
        <v>0</v>
      </c>
      <c r="L112" s="360">
        <f t="shared" si="71"/>
        <v>0</v>
      </c>
      <c r="M112" s="361">
        <f t="shared" si="71"/>
        <v>0</v>
      </c>
      <c r="N112" s="1052">
        <f t="shared" si="71"/>
        <v>0</v>
      </c>
      <c r="O112" s="358">
        <f t="shared" si="71"/>
        <v>0</v>
      </c>
      <c r="P112" s="1051">
        <f t="shared" si="71"/>
        <v>0</v>
      </c>
    </row>
    <row r="113" spans="2:17">
      <c r="B113" s="1068" t="s">
        <v>649</v>
      </c>
      <c r="C113" s="551" t="s">
        <v>650</v>
      </c>
      <c r="D113" s="608">
        <v>0</v>
      </c>
      <c r="E113" s="1051">
        <f>IFERROR($D113*E130/100, 0)</f>
        <v>0</v>
      </c>
      <c r="F113" s="1051">
        <f t="shared" si="56"/>
        <v>0</v>
      </c>
      <c r="G113" s="359">
        <f t="shared" si="70"/>
        <v>0</v>
      </c>
      <c r="H113" s="360">
        <f t="shared" si="70"/>
        <v>0</v>
      </c>
      <c r="I113" s="361">
        <f t="shared" si="70"/>
        <v>0</v>
      </c>
      <c r="J113" s="307">
        <f t="shared" si="57"/>
        <v>0</v>
      </c>
      <c r="K113" s="359">
        <f t="shared" si="71"/>
        <v>0</v>
      </c>
      <c r="L113" s="360">
        <f t="shared" si="71"/>
        <v>0</v>
      </c>
      <c r="M113" s="361">
        <f t="shared" si="71"/>
        <v>0</v>
      </c>
      <c r="N113" s="1052">
        <f t="shared" si="71"/>
        <v>0</v>
      </c>
      <c r="O113" s="358">
        <f t="shared" si="71"/>
        <v>0</v>
      </c>
      <c r="P113" s="1051">
        <f t="shared" si="71"/>
        <v>0</v>
      </c>
    </row>
    <row r="114" spans="2:17">
      <c r="B114" s="1079" t="s">
        <v>179</v>
      </c>
      <c r="C114" s="555" t="s">
        <v>602</v>
      </c>
      <c r="D114" s="1060">
        <f>D115+D116+D117</f>
        <v>0.21</v>
      </c>
      <c r="E114" s="1061">
        <f>E115+E116+E117</f>
        <v>0.21</v>
      </c>
      <c r="F114" s="1061">
        <f t="shared" si="56"/>
        <v>0</v>
      </c>
      <c r="G114" s="1062">
        <f>G115+G116+G117</f>
        <v>0</v>
      </c>
      <c r="H114" s="1063">
        <f>H115+H116+H117</f>
        <v>0</v>
      </c>
      <c r="I114" s="1064">
        <f>I115+I116+I117</f>
        <v>0</v>
      </c>
      <c r="J114" s="1065">
        <f t="shared" si="57"/>
        <v>0</v>
      </c>
      <c r="K114" s="1062">
        <f t="shared" ref="K114:P114" si="72">K115+K116+K117</f>
        <v>0</v>
      </c>
      <c r="L114" s="1063">
        <f t="shared" si="72"/>
        <v>0</v>
      </c>
      <c r="M114" s="1064">
        <f t="shared" si="72"/>
        <v>0</v>
      </c>
      <c r="N114" s="1066">
        <f t="shared" si="72"/>
        <v>0</v>
      </c>
      <c r="O114" s="1067">
        <f t="shared" si="72"/>
        <v>0</v>
      </c>
      <c r="P114" s="1061">
        <f t="shared" si="72"/>
        <v>0</v>
      </c>
      <c r="Q114" s="601"/>
    </row>
    <row r="115" spans="2:17">
      <c r="B115" s="1080" t="s">
        <v>509</v>
      </c>
      <c r="C115" s="1081" t="s">
        <v>603</v>
      </c>
      <c r="D115" s="608">
        <v>0</v>
      </c>
      <c r="E115" s="1051">
        <f>IFERROR($D115*E131/100, 0)</f>
        <v>0</v>
      </c>
      <c r="F115" s="1051">
        <f t="shared" si="56"/>
        <v>0</v>
      </c>
      <c r="G115" s="359">
        <f t="shared" ref="G115:I117" si="73">IFERROR($D115*G131/100, 0)</f>
        <v>0</v>
      </c>
      <c r="H115" s="360">
        <f t="shared" si="73"/>
        <v>0</v>
      </c>
      <c r="I115" s="361">
        <f t="shared" si="73"/>
        <v>0</v>
      </c>
      <c r="J115" s="307">
        <f t="shared" si="57"/>
        <v>0</v>
      </c>
      <c r="K115" s="359">
        <f t="shared" ref="K115:P117" si="74">IFERROR($D115*K131/100, 0)</f>
        <v>0</v>
      </c>
      <c r="L115" s="360">
        <f t="shared" si="74"/>
        <v>0</v>
      </c>
      <c r="M115" s="361">
        <f t="shared" si="74"/>
        <v>0</v>
      </c>
      <c r="N115" s="1052">
        <f t="shared" si="74"/>
        <v>0</v>
      </c>
      <c r="O115" s="358">
        <f t="shared" si="74"/>
        <v>0</v>
      </c>
      <c r="P115" s="1051">
        <f t="shared" si="74"/>
        <v>0</v>
      </c>
    </row>
    <row r="116" spans="2:17">
      <c r="B116" s="1068" t="s">
        <v>510</v>
      </c>
      <c r="C116" s="1081" t="s">
        <v>603</v>
      </c>
      <c r="D116" s="608">
        <v>0</v>
      </c>
      <c r="E116" s="1051">
        <f>IFERROR($D116*E132/100, 0)</f>
        <v>0</v>
      </c>
      <c r="F116" s="1051">
        <f t="shared" si="56"/>
        <v>0</v>
      </c>
      <c r="G116" s="359">
        <f t="shared" si="73"/>
        <v>0</v>
      </c>
      <c r="H116" s="360">
        <f t="shared" si="73"/>
        <v>0</v>
      </c>
      <c r="I116" s="361">
        <f t="shared" si="73"/>
        <v>0</v>
      </c>
      <c r="J116" s="307">
        <f t="shared" si="57"/>
        <v>0</v>
      </c>
      <c r="K116" s="359">
        <f t="shared" si="74"/>
        <v>0</v>
      </c>
      <c r="L116" s="360">
        <f t="shared" si="74"/>
        <v>0</v>
      </c>
      <c r="M116" s="361">
        <f t="shared" si="74"/>
        <v>0</v>
      </c>
      <c r="N116" s="1052">
        <f t="shared" si="74"/>
        <v>0</v>
      </c>
      <c r="O116" s="358">
        <f t="shared" si="74"/>
        <v>0</v>
      </c>
      <c r="P116" s="1051">
        <f t="shared" si="74"/>
        <v>0</v>
      </c>
    </row>
    <row r="117" spans="2:17" ht="15.75" thickBot="1">
      <c r="B117" s="1103" t="s">
        <v>511</v>
      </c>
      <c r="C117" s="1081" t="s">
        <v>603</v>
      </c>
      <c r="D117" s="602">
        <v>0.21</v>
      </c>
      <c r="E117" s="1051">
        <f>IFERROR($D117*E133/100, 0)</f>
        <v>0.21</v>
      </c>
      <c r="F117" s="1051">
        <f t="shared" si="56"/>
        <v>0</v>
      </c>
      <c r="G117" s="359">
        <f t="shared" si="73"/>
        <v>0</v>
      </c>
      <c r="H117" s="360">
        <f t="shared" si="73"/>
        <v>0</v>
      </c>
      <c r="I117" s="361">
        <f t="shared" si="73"/>
        <v>0</v>
      </c>
      <c r="J117" s="307">
        <f t="shared" si="57"/>
        <v>0</v>
      </c>
      <c r="K117" s="359">
        <f t="shared" si="74"/>
        <v>0</v>
      </c>
      <c r="L117" s="360">
        <f t="shared" si="74"/>
        <v>0</v>
      </c>
      <c r="M117" s="361">
        <f t="shared" si="74"/>
        <v>0</v>
      </c>
      <c r="N117" s="1052">
        <f t="shared" si="74"/>
        <v>0</v>
      </c>
      <c r="O117" s="358">
        <f t="shared" si="74"/>
        <v>0</v>
      </c>
      <c r="P117" s="1051">
        <f t="shared" si="74"/>
        <v>0</v>
      </c>
    </row>
    <row r="118" spans="2:17" ht="74.25" customHeight="1" thickBot="1">
      <c r="B118" s="1028" t="s">
        <v>79</v>
      </c>
      <c r="C118" s="32" t="s">
        <v>651</v>
      </c>
      <c r="D118" s="1111" t="s">
        <v>255</v>
      </c>
      <c r="E118" s="1031" t="s">
        <v>256</v>
      </c>
      <c r="F118" s="1031" t="s">
        <v>257</v>
      </c>
      <c r="G118" s="1112" t="s">
        <v>258</v>
      </c>
      <c r="H118" s="1113" t="s">
        <v>259</v>
      </c>
      <c r="I118" s="1114" t="s">
        <v>260</v>
      </c>
      <c r="J118" s="32" t="s">
        <v>261</v>
      </c>
      <c r="K118" s="1112" t="s">
        <v>262</v>
      </c>
      <c r="L118" s="1113" t="s">
        <v>263</v>
      </c>
      <c r="M118" s="1114" t="s">
        <v>264</v>
      </c>
      <c r="N118" s="1036" t="s">
        <v>619</v>
      </c>
      <c r="O118" s="1037" t="s">
        <v>458</v>
      </c>
      <c r="P118" s="1038" t="s">
        <v>459</v>
      </c>
    </row>
    <row r="119" spans="2:17">
      <c r="B119" s="363" t="s">
        <v>212</v>
      </c>
      <c r="C119" s="1115" t="s">
        <v>652</v>
      </c>
      <c r="D119" s="630">
        <f t="shared" ref="D119:D134" si="75">E119+F119+J119+N119+O119+P119</f>
        <v>100</v>
      </c>
      <c r="E119" s="715">
        <v>100</v>
      </c>
      <c r="F119" s="632">
        <f t="shared" ref="F119:F134" si="76">SUM(G119:I119)</f>
        <v>0</v>
      </c>
      <c r="G119" s="716">
        <v>0</v>
      </c>
      <c r="H119" s="717">
        <v>0</v>
      </c>
      <c r="I119" s="719">
        <v>0</v>
      </c>
      <c r="J119" s="632">
        <f t="shared" ref="J119:J134" si="77">SUM(K119:M119)</f>
        <v>0</v>
      </c>
      <c r="K119" s="716">
        <v>0</v>
      </c>
      <c r="L119" s="717">
        <v>0</v>
      </c>
      <c r="M119" s="719">
        <v>0</v>
      </c>
      <c r="N119" s="720">
        <v>0</v>
      </c>
      <c r="O119" s="1129">
        <v>0</v>
      </c>
      <c r="P119" s="722">
        <v>0</v>
      </c>
      <c r="Q119" s="28"/>
    </row>
    <row r="120" spans="2:17">
      <c r="B120" s="379" t="s">
        <v>214</v>
      </c>
      <c r="C120" s="1118" t="s">
        <v>653</v>
      </c>
      <c r="D120" s="642">
        <f t="shared" si="75"/>
        <v>0</v>
      </c>
      <c r="E120" s="715">
        <v>0</v>
      </c>
      <c r="F120" s="644">
        <f t="shared" si="76"/>
        <v>0</v>
      </c>
      <c r="G120" s="723">
        <v>0</v>
      </c>
      <c r="H120" s="724">
        <v>0</v>
      </c>
      <c r="I120" s="726">
        <v>0</v>
      </c>
      <c r="J120" s="644">
        <f t="shared" si="77"/>
        <v>0</v>
      </c>
      <c r="K120" s="723">
        <v>0</v>
      </c>
      <c r="L120" s="724">
        <v>0</v>
      </c>
      <c r="M120" s="726">
        <v>0</v>
      </c>
      <c r="N120" s="727">
        <v>0</v>
      </c>
      <c r="O120" s="1130">
        <v>0</v>
      </c>
      <c r="P120" s="729">
        <v>0</v>
      </c>
    </row>
    <row r="121" spans="2:17">
      <c r="B121" s="379" t="s">
        <v>222</v>
      </c>
      <c r="C121" s="1118" t="s">
        <v>654</v>
      </c>
      <c r="D121" s="642">
        <f t="shared" si="75"/>
        <v>0</v>
      </c>
      <c r="E121" s="715">
        <v>0</v>
      </c>
      <c r="F121" s="644">
        <f t="shared" si="76"/>
        <v>0</v>
      </c>
      <c r="G121" s="723">
        <v>0</v>
      </c>
      <c r="H121" s="724">
        <v>0</v>
      </c>
      <c r="I121" s="726">
        <v>0</v>
      </c>
      <c r="J121" s="644">
        <f t="shared" si="77"/>
        <v>0</v>
      </c>
      <c r="K121" s="723">
        <v>0</v>
      </c>
      <c r="L121" s="724">
        <v>0</v>
      </c>
      <c r="M121" s="726">
        <v>0</v>
      </c>
      <c r="N121" s="727">
        <v>0</v>
      </c>
      <c r="O121" s="1130">
        <v>0</v>
      </c>
      <c r="P121" s="729">
        <v>0</v>
      </c>
    </row>
    <row r="122" spans="2:17">
      <c r="B122" s="381" t="s">
        <v>224</v>
      </c>
      <c r="C122" s="1118" t="s">
        <v>655</v>
      </c>
      <c r="D122" s="642">
        <f t="shared" si="75"/>
        <v>99.999999999999957</v>
      </c>
      <c r="E122" s="715">
        <v>0</v>
      </c>
      <c r="F122" s="644">
        <f t="shared" si="76"/>
        <v>74.570864970499599</v>
      </c>
      <c r="G122" s="723">
        <v>62.484234110881502</v>
      </c>
      <c r="H122" s="724">
        <v>12.086630859618101</v>
      </c>
      <c r="I122" s="726">
        <v>0</v>
      </c>
      <c r="J122" s="644">
        <f t="shared" si="77"/>
        <v>25.429135029500358</v>
      </c>
      <c r="K122" s="723">
        <v>1.0358031068734599</v>
      </c>
      <c r="L122" s="724">
        <v>24.393331922626899</v>
      </c>
      <c r="M122" s="726">
        <v>0</v>
      </c>
      <c r="N122" s="727">
        <v>0</v>
      </c>
      <c r="O122" s="1130">
        <v>0</v>
      </c>
      <c r="P122" s="729">
        <v>0</v>
      </c>
    </row>
    <row r="123" spans="2:17">
      <c r="B123" s="379" t="s">
        <v>656</v>
      </c>
      <c r="C123" s="1118" t="s">
        <v>657</v>
      </c>
      <c r="D123" s="642">
        <f t="shared" si="75"/>
        <v>100</v>
      </c>
      <c r="E123" s="715">
        <v>0</v>
      </c>
      <c r="F123" s="644">
        <f t="shared" si="76"/>
        <v>100</v>
      </c>
      <c r="G123" s="723">
        <v>100</v>
      </c>
      <c r="H123" s="724">
        <v>0</v>
      </c>
      <c r="I123" s="726">
        <v>0</v>
      </c>
      <c r="J123" s="644">
        <f t="shared" si="77"/>
        <v>0</v>
      </c>
      <c r="K123" s="723">
        <v>0</v>
      </c>
      <c r="L123" s="724">
        <v>0</v>
      </c>
      <c r="M123" s="726">
        <v>0</v>
      </c>
      <c r="N123" s="727">
        <v>0</v>
      </c>
      <c r="O123" s="1130">
        <v>0</v>
      </c>
      <c r="P123" s="729">
        <v>0</v>
      </c>
    </row>
    <row r="124" spans="2:17">
      <c r="B124" s="379" t="s">
        <v>658</v>
      </c>
      <c r="C124" s="1118" t="s">
        <v>659</v>
      </c>
      <c r="D124" s="642">
        <f t="shared" si="75"/>
        <v>100.00000000000003</v>
      </c>
      <c r="E124" s="715">
        <v>0</v>
      </c>
      <c r="F124" s="644">
        <f t="shared" si="76"/>
        <v>55.294133396699401</v>
      </c>
      <c r="G124" s="723">
        <v>0</v>
      </c>
      <c r="H124" s="724">
        <v>0</v>
      </c>
      <c r="I124" s="726">
        <v>55.294133396699401</v>
      </c>
      <c r="J124" s="644">
        <f t="shared" si="77"/>
        <v>40.4326741255652</v>
      </c>
      <c r="K124" s="723">
        <v>40.4326741255652</v>
      </c>
      <c r="L124" s="724">
        <v>0</v>
      </c>
      <c r="M124" s="726">
        <v>0</v>
      </c>
      <c r="N124" s="727">
        <v>0</v>
      </c>
      <c r="O124" s="1130">
        <v>0</v>
      </c>
      <c r="P124" s="729">
        <v>4.27319247773542</v>
      </c>
    </row>
    <row r="125" spans="2:17">
      <c r="B125" s="379" t="s">
        <v>660</v>
      </c>
      <c r="C125" s="1118" t="s">
        <v>661</v>
      </c>
      <c r="D125" s="642">
        <f t="shared" si="75"/>
        <v>100.00000000000003</v>
      </c>
      <c r="E125" s="715">
        <v>0</v>
      </c>
      <c r="F125" s="644">
        <f t="shared" si="76"/>
        <v>43.516817869798324</v>
      </c>
      <c r="G125" s="723">
        <v>23.0997569618374</v>
      </c>
      <c r="H125" s="724">
        <v>0.78106157585202496</v>
      </c>
      <c r="I125" s="726">
        <v>19.635999332108899</v>
      </c>
      <c r="J125" s="644">
        <f t="shared" si="77"/>
        <v>56.483182130201698</v>
      </c>
      <c r="K125" s="723">
        <v>45.715292851709599</v>
      </c>
      <c r="L125" s="724">
        <v>10.767889278492101</v>
      </c>
      <c r="M125" s="726">
        <v>0</v>
      </c>
      <c r="N125" s="727">
        <v>0</v>
      </c>
      <c r="O125" s="1130">
        <v>0</v>
      </c>
      <c r="P125" s="729">
        <v>0</v>
      </c>
    </row>
    <row r="126" spans="2:17">
      <c r="B126" s="381" t="s">
        <v>662</v>
      </c>
      <c r="C126" s="1118" t="s">
        <v>663</v>
      </c>
      <c r="D126" s="642">
        <f t="shared" si="75"/>
        <v>99.999999999999901</v>
      </c>
      <c r="E126" s="715">
        <v>5.5166709900562001</v>
      </c>
      <c r="F126" s="644">
        <f t="shared" si="76"/>
        <v>69.740194552529104</v>
      </c>
      <c r="G126" s="723">
        <v>25.986005188067399</v>
      </c>
      <c r="H126" s="724">
        <v>16.631664504971901</v>
      </c>
      <c r="I126" s="726">
        <v>27.122524859489801</v>
      </c>
      <c r="J126" s="644">
        <f t="shared" si="77"/>
        <v>24.743134457414598</v>
      </c>
      <c r="K126" s="723">
        <v>13.8275226977951</v>
      </c>
      <c r="L126" s="724">
        <v>10.9156117596195</v>
      </c>
      <c r="M126" s="726">
        <v>0</v>
      </c>
      <c r="N126" s="727">
        <v>0</v>
      </c>
      <c r="O126" s="1130">
        <v>0</v>
      </c>
      <c r="P126" s="729">
        <v>0</v>
      </c>
    </row>
    <row r="127" spans="2:17">
      <c r="B127" s="381" t="s">
        <v>664</v>
      </c>
      <c r="C127" s="1118" t="s">
        <v>665</v>
      </c>
      <c r="D127" s="642">
        <f t="shared" si="75"/>
        <v>0</v>
      </c>
      <c r="E127" s="715">
        <v>0</v>
      </c>
      <c r="F127" s="644">
        <f t="shared" si="76"/>
        <v>0</v>
      </c>
      <c r="G127" s="723">
        <v>0</v>
      </c>
      <c r="H127" s="724">
        <v>0</v>
      </c>
      <c r="I127" s="726">
        <v>0</v>
      </c>
      <c r="J127" s="644">
        <f t="shared" si="77"/>
        <v>0</v>
      </c>
      <c r="K127" s="723">
        <v>0</v>
      </c>
      <c r="L127" s="724">
        <v>0</v>
      </c>
      <c r="M127" s="726">
        <v>0</v>
      </c>
      <c r="N127" s="727">
        <v>0</v>
      </c>
      <c r="O127" s="1130">
        <v>0</v>
      </c>
      <c r="P127" s="729">
        <v>0</v>
      </c>
    </row>
    <row r="128" spans="2:17">
      <c r="B128" s="381" t="s">
        <v>666</v>
      </c>
      <c r="C128" s="1118" t="s">
        <v>667</v>
      </c>
      <c r="D128" s="642">
        <f t="shared" si="75"/>
        <v>100.00000000000003</v>
      </c>
      <c r="E128" s="715">
        <v>0</v>
      </c>
      <c r="F128" s="644">
        <f t="shared" si="76"/>
        <v>91.657215097105194</v>
      </c>
      <c r="G128" s="723">
        <v>34.671058995969197</v>
      </c>
      <c r="H128" s="724">
        <v>13.5196628801759</v>
      </c>
      <c r="I128" s="726">
        <v>43.466493220960103</v>
      </c>
      <c r="J128" s="644">
        <f t="shared" si="77"/>
        <v>0</v>
      </c>
      <c r="K128" s="723">
        <v>0</v>
      </c>
      <c r="L128" s="724">
        <v>0</v>
      </c>
      <c r="M128" s="726">
        <v>0</v>
      </c>
      <c r="N128" s="727">
        <v>0</v>
      </c>
      <c r="O128" s="1130">
        <v>0</v>
      </c>
      <c r="P128" s="729">
        <v>8.3427849028948309</v>
      </c>
    </row>
    <row r="129" spans="2:16">
      <c r="B129" s="381" t="s">
        <v>668</v>
      </c>
      <c r="C129" s="1118" t="s">
        <v>669</v>
      </c>
      <c r="D129" s="642">
        <f t="shared" si="75"/>
        <v>100</v>
      </c>
      <c r="E129" s="715">
        <v>100</v>
      </c>
      <c r="F129" s="644">
        <f t="shared" si="76"/>
        <v>0</v>
      </c>
      <c r="G129" s="723">
        <v>0</v>
      </c>
      <c r="H129" s="724">
        <v>0</v>
      </c>
      <c r="I129" s="726">
        <v>0</v>
      </c>
      <c r="J129" s="644">
        <f t="shared" si="77"/>
        <v>0</v>
      </c>
      <c r="K129" s="723">
        <v>0</v>
      </c>
      <c r="L129" s="724">
        <v>0</v>
      </c>
      <c r="M129" s="726">
        <v>0</v>
      </c>
      <c r="N129" s="727">
        <v>0</v>
      </c>
      <c r="O129" s="1130">
        <v>0</v>
      </c>
      <c r="P129" s="729">
        <v>0</v>
      </c>
    </row>
    <row r="130" spans="2:16">
      <c r="B130" s="379" t="s">
        <v>670</v>
      </c>
      <c r="C130" s="1118" t="s">
        <v>671</v>
      </c>
      <c r="D130" s="642">
        <f t="shared" si="75"/>
        <v>99.999999999999972</v>
      </c>
      <c r="E130" s="715">
        <v>0</v>
      </c>
      <c r="F130" s="644">
        <f t="shared" si="76"/>
        <v>0</v>
      </c>
      <c r="G130" s="723">
        <v>0</v>
      </c>
      <c r="H130" s="724">
        <v>0</v>
      </c>
      <c r="I130" s="726">
        <v>0</v>
      </c>
      <c r="J130" s="644">
        <f t="shared" si="77"/>
        <v>8.75959179473106</v>
      </c>
      <c r="K130" s="723">
        <v>0</v>
      </c>
      <c r="L130" s="724">
        <v>0</v>
      </c>
      <c r="M130" s="726">
        <v>8.75959179473106</v>
      </c>
      <c r="N130" s="727">
        <v>0</v>
      </c>
      <c r="O130" s="1130">
        <v>0</v>
      </c>
      <c r="P130" s="729">
        <v>91.240408205268906</v>
      </c>
    </row>
    <row r="131" spans="2:16">
      <c r="B131" s="381" t="s">
        <v>672</v>
      </c>
      <c r="C131" s="1118" t="s">
        <v>673</v>
      </c>
      <c r="D131" s="642">
        <f t="shared" si="75"/>
        <v>0</v>
      </c>
      <c r="E131" s="715">
        <v>0</v>
      </c>
      <c r="F131" s="644">
        <f t="shared" si="76"/>
        <v>0</v>
      </c>
      <c r="G131" s="723">
        <v>0</v>
      </c>
      <c r="H131" s="724">
        <v>0</v>
      </c>
      <c r="I131" s="726">
        <v>0</v>
      </c>
      <c r="J131" s="644">
        <f t="shared" si="77"/>
        <v>0</v>
      </c>
      <c r="K131" s="723">
        <v>0</v>
      </c>
      <c r="L131" s="724">
        <v>0</v>
      </c>
      <c r="M131" s="726">
        <v>0</v>
      </c>
      <c r="N131" s="727">
        <v>0</v>
      </c>
      <c r="O131" s="1130">
        <v>0</v>
      </c>
      <c r="P131" s="729">
        <v>0</v>
      </c>
    </row>
    <row r="132" spans="2:16">
      <c r="B132" s="381" t="s">
        <v>674</v>
      </c>
      <c r="C132" s="1121" t="s">
        <v>675</v>
      </c>
      <c r="D132" s="654">
        <f t="shared" si="75"/>
        <v>0</v>
      </c>
      <c r="E132" s="730">
        <v>0</v>
      </c>
      <c r="F132" s="656">
        <f t="shared" si="76"/>
        <v>0</v>
      </c>
      <c r="G132" s="731">
        <v>0</v>
      </c>
      <c r="H132" s="732">
        <v>0</v>
      </c>
      <c r="I132" s="734">
        <v>0</v>
      </c>
      <c r="J132" s="656">
        <f t="shared" si="77"/>
        <v>0</v>
      </c>
      <c r="K132" s="731">
        <v>0</v>
      </c>
      <c r="L132" s="732">
        <v>0</v>
      </c>
      <c r="M132" s="734">
        <v>0</v>
      </c>
      <c r="N132" s="735">
        <v>0</v>
      </c>
      <c r="O132" s="1131">
        <v>0</v>
      </c>
      <c r="P132" s="737">
        <v>0</v>
      </c>
    </row>
    <row r="133" spans="2:16" ht="15.75" thickBot="1">
      <c r="B133" s="1132" t="s">
        <v>676</v>
      </c>
      <c r="C133" s="1133" t="s">
        <v>677</v>
      </c>
      <c r="D133" s="740">
        <f t="shared" si="75"/>
        <v>100</v>
      </c>
      <c r="E133" s="741">
        <v>100</v>
      </c>
      <c r="F133" s="742">
        <f t="shared" si="76"/>
        <v>0</v>
      </c>
      <c r="G133" s="743">
        <v>0</v>
      </c>
      <c r="H133" s="744">
        <v>0</v>
      </c>
      <c r="I133" s="746">
        <v>0</v>
      </c>
      <c r="J133" s="742">
        <f t="shared" si="77"/>
        <v>0</v>
      </c>
      <c r="K133" s="743">
        <v>0</v>
      </c>
      <c r="L133" s="744">
        <v>0</v>
      </c>
      <c r="M133" s="746">
        <v>0</v>
      </c>
      <c r="N133" s="747">
        <v>0</v>
      </c>
      <c r="O133" s="1134">
        <v>0</v>
      </c>
      <c r="P133" s="749">
        <v>0</v>
      </c>
    </row>
    <row r="134" spans="2:16" ht="26.25" thickBot="1">
      <c r="B134" s="1135" t="s">
        <v>81</v>
      </c>
      <c r="C134" s="32" t="s">
        <v>678</v>
      </c>
      <c r="D134" s="752">
        <f t="shared" si="75"/>
        <v>99.999999999999972</v>
      </c>
      <c r="E134" s="753">
        <f>IFERROR(E96/$D$96*100, 0)</f>
        <v>1.5449328598672829</v>
      </c>
      <c r="F134" s="754">
        <f t="shared" si="76"/>
        <v>73.974456396564932</v>
      </c>
      <c r="G134" s="755">
        <f>IFERROR(G96/$D$96*100, 0)</f>
        <v>57.843125721716618</v>
      </c>
      <c r="H134" s="756">
        <f>IFERROR(H96/$D$96*100, 0)</f>
        <v>12.373469033130146</v>
      </c>
      <c r="I134" s="758">
        <f>IFERROR(I96/$D$96*100, 0)</f>
        <v>3.7578616417181716</v>
      </c>
      <c r="J134" s="754">
        <f t="shared" si="77"/>
        <v>24.180949972633293</v>
      </c>
      <c r="K134" s="755">
        <f t="shared" ref="K134:P134" si="78">IFERROR(K96/$D$96*100, 0)</f>
        <v>2.0232039529675347</v>
      </c>
      <c r="L134" s="756">
        <f t="shared" si="78"/>
        <v>22.157746019665758</v>
      </c>
      <c r="M134" s="758">
        <f t="shared" si="78"/>
        <v>0</v>
      </c>
      <c r="N134" s="754">
        <f t="shared" si="78"/>
        <v>0</v>
      </c>
      <c r="O134" s="754">
        <f t="shared" si="78"/>
        <v>0</v>
      </c>
      <c r="P134" s="754">
        <f t="shared" si="78"/>
        <v>0.2996607709344517</v>
      </c>
    </row>
  </sheetData>
  <sheetProtection password="F757" sheet="1" objects="1" scenarios="1"/>
  <mergeCells count="5">
    <mergeCell ref="B8:P8"/>
    <mergeCell ref="A1:P1"/>
    <mergeCell ref="A2:P2"/>
    <mergeCell ref="A3:P3"/>
    <mergeCell ref="A5:P5"/>
  </mergeCells>
  <pageMargins left="0.11811023622047245" right="0.11811023622047245" top="0.15748031496062992" bottom="0.15748031496062992" header="0.31496062992125984" footer="0.31496062992125984"/>
  <pageSetup paperSize="8" scale="75" fitToHeight="0" orientation="landscape" r:id="rId1"/>
</worksheet>
</file>

<file path=xl/worksheets/sheet11.xml><?xml version="1.0" encoding="utf-8"?>
<worksheet xmlns="http://schemas.openxmlformats.org/spreadsheetml/2006/main" xmlns:r="http://schemas.openxmlformats.org/officeDocument/2006/relationships">
  <dimension ref="A1:G201"/>
  <sheetViews>
    <sheetView zoomScaleNormal="100" workbookViewId="0">
      <selection sqref="A1:F1"/>
    </sheetView>
  </sheetViews>
  <sheetFormatPr defaultColWidth="9.140625" defaultRowHeight="15"/>
  <cols>
    <col min="1" max="1" width="9.140625" style="432"/>
    <col min="2" max="2" width="8.7109375" style="432" customWidth="1"/>
    <col min="3" max="3" width="78.28515625" style="432" customWidth="1"/>
    <col min="4" max="4" width="16.42578125" style="432" customWidth="1"/>
    <col min="5" max="5" width="21.140625" style="432" customWidth="1"/>
    <col min="6" max="6" width="19" style="1136" customWidth="1"/>
    <col min="7" max="7" width="43" style="1136" customWidth="1"/>
    <col min="8" max="16384" width="9.140625" style="432"/>
  </cols>
  <sheetData>
    <row r="1" spans="1:7">
      <c r="A1" s="1358" t="s">
        <v>0</v>
      </c>
      <c r="B1" s="1359"/>
      <c r="C1" s="1359"/>
      <c r="D1" s="1359"/>
      <c r="E1" s="1359"/>
      <c r="F1" s="1360"/>
    </row>
    <row r="2" spans="1:7">
      <c r="A2" s="1358" t="s">
        <v>1</v>
      </c>
      <c r="B2" s="1359"/>
      <c r="C2" s="1359"/>
      <c r="D2" s="1359"/>
      <c r="E2" s="1359"/>
      <c r="F2" s="1360"/>
    </row>
    <row r="3" spans="1:7">
      <c r="A3" s="1361"/>
      <c r="B3" s="1362"/>
      <c r="C3" s="1362"/>
      <c r="D3" s="1362"/>
      <c r="E3" s="1362"/>
      <c r="F3" s="1363"/>
    </row>
    <row r="4" spans="1:7">
      <c r="A4" s="1137"/>
      <c r="B4" s="1137"/>
      <c r="C4" s="1137"/>
      <c r="D4" s="1137"/>
      <c r="E4" s="1137"/>
      <c r="F4" s="1138"/>
    </row>
    <row r="5" spans="1:7">
      <c r="A5" s="1364" t="s">
        <v>951</v>
      </c>
      <c r="B5" s="1365"/>
      <c r="C5" s="1365"/>
      <c r="D5" s="1365"/>
      <c r="E5" s="1365"/>
      <c r="F5" s="1366"/>
    </row>
    <row r="6" spans="1:7">
      <c r="A6" s="1137"/>
      <c r="B6" s="1137"/>
      <c r="C6" s="1137"/>
      <c r="D6" s="1137"/>
      <c r="E6" s="1137"/>
      <c r="F6" s="1138"/>
    </row>
    <row r="8" spans="1:7" ht="15.75" thickBot="1">
      <c r="B8" s="1275" t="s">
        <v>952</v>
      </c>
      <c r="C8" s="1275"/>
      <c r="D8" s="1275"/>
      <c r="E8" s="1275"/>
    </row>
    <row r="9" spans="1:7" ht="15.75" thickBot="1">
      <c r="B9" s="1139" t="s">
        <v>4</v>
      </c>
      <c r="C9" s="1140" t="s">
        <v>953</v>
      </c>
      <c r="D9" s="1141" t="s">
        <v>682</v>
      </c>
      <c r="E9" s="1142" t="s">
        <v>49</v>
      </c>
      <c r="G9" s="1143"/>
    </row>
    <row r="10" spans="1:7" ht="15.75" thickBot="1">
      <c r="B10" s="1144"/>
      <c r="C10" s="1140" t="s">
        <v>954</v>
      </c>
      <c r="D10" s="1140"/>
      <c r="E10" s="1145"/>
      <c r="F10" s="1146"/>
      <c r="G10" s="1143"/>
    </row>
    <row r="11" spans="1:7">
      <c r="B11" s="1147" t="s">
        <v>96</v>
      </c>
      <c r="C11" s="1148" t="s">
        <v>955</v>
      </c>
      <c r="D11" s="1148" t="s">
        <v>956</v>
      </c>
      <c r="E11" s="1149">
        <v>2701</v>
      </c>
      <c r="F11" s="1150"/>
      <c r="G11" s="1143"/>
    </row>
    <row r="12" spans="1:7">
      <c r="B12" s="1151" t="s">
        <v>102</v>
      </c>
      <c r="C12" s="1152" t="s">
        <v>957</v>
      </c>
      <c r="D12" s="1153" t="s">
        <v>956</v>
      </c>
      <c r="E12" s="1154">
        <v>1023.51</v>
      </c>
      <c r="F12" s="1150"/>
      <c r="G12" s="1143"/>
    </row>
    <row r="13" spans="1:7">
      <c r="B13" s="1151" t="s">
        <v>124</v>
      </c>
      <c r="C13" s="1152" t="s">
        <v>958</v>
      </c>
      <c r="D13" s="1152" t="s">
        <v>956</v>
      </c>
      <c r="E13" s="1154">
        <v>920</v>
      </c>
      <c r="F13" s="1150"/>
      <c r="G13" s="1143"/>
    </row>
    <row r="14" spans="1:7">
      <c r="B14" s="1151" t="s">
        <v>131</v>
      </c>
      <c r="C14" s="1152" t="s">
        <v>959</v>
      </c>
      <c r="D14" s="1152" t="s">
        <v>956</v>
      </c>
      <c r="E14" s="1154">
        <v>18950.8</v>
      </c>
      <c r="F14" s="1155"/>
      <c r="G14" s="1143"/>
    </row>
    <row r="15" spans="1:7">
      <c r="B15" s="1151" t="s">
        <v>274</v>
      </c>
      <c r="C15" s="1152" t="s">
        <v>960</v>
      </c>
      <c r="D15" s="1152" t="s">
        <v>956</v>
      </c>
      <c r="E15" s="1154"/>
      <c r="F15" s="1155"/>
      <c r="G15" s="1143"/>
    </row>
    <row r="16" spans="1:7">
      <c r="B16" s="1151" t="s">
        <v>282</v>
      </c>
      <c r="C16" s="1152" t="s">
        <v>961</v>
      </c>
      <c r="D16" s="1152" t="s">
        <v>956</v>
      </c>
      <c r="E16" s="1154">
        <v>1263.0999999999999</v>
      </c>
      <c r="F16" s="1155"/>
      <c r="G16" s="1143"/>
    </row>
    <row r="17" spans="2:7">
      <c r="B17" s="1156" t="s">
        <v>284</v>
      </c>
      <c r="C17" s="1157" t="s">
        <v>962</v>
      </c>
      <c r="D17" s="1157" t="s">
        <v>963</v>
      </c>
      <c r="E17" s="1158">
        <v>474.3</v>
      </c>
      <c r="F17" s="1155"/>
      <c r="G17" s="1143"/>
    </row>
    <row r="18" spans="2:7">
      <c r="B18" s="1156" t="s">
        <v>604</v>
      </c>
      <c r="C18" s="1157" t="s">
        <v>964</v>
      </c>
      <c r="D18" s="1157" t="s">
        <v>965</v>
      </c>
      <c r="E18" s="1158"/>
      <c r="F18" s="1155"/>
      <c r="G18" s="1143"/>
    </row>
    <row r="19" spans="2:7">
      <c r="B19" s="1156" t="s">
        <v>605</v>
      </c>
      <c r="C19" s="1157" t="s">
        <v>966</v>
      </c>
      <c r="D19" s="1157" t="s">
        <v>965</v>
      </c>
      <c r="E19" s="1158">
        <v>87.8</v>
      </c>
      <c r="F19" s="1155"/>
      <c r="G19" s="1143"/>
    </row>
    <row r="20" spans="2:7">
      <c r="B20" s="1156" t="s">
        <v>967</v>
      </c>
      <c r="C20" s="1157" t="s">
        <v>968</v>
      </c>
      <c r="D20" s="1159" t="s">
        <v>965</v>
      </c>
      <c r="E20" s="1158">
        <v>9.4</v>
      </c>
      <c r="F20" s="1155"/>
      <c r="G20" s="1143"/>
    </row>
    <row r="21" spans="2:7">
      <c r="B21" s="1151" t="s">
        <v>286</v>
      </c>
      <c r="C21" s="1152" t="s">
        <v>969</v>
      </c>
      <c r="D21" s="1152" t="s">
        <v>956</v>
      </c>
      <c r="E21" s="1154"/>
      <c r="F21" s="1155"/>
      <c r="G21" s="1143"/>
    </row>
    <row r="22" spans="2:7">
      <c r="B22" s="1156" t="s">
        <v>970</v>
      </c>
      <c r="C22" s="1157" t="s">
        <v>962</v>
      </c>
      <c r="D22" s="1157" t="s">
        <v>963</v>
      </c>
      <c r="E22" s="1158"/>
      <c r="F22" s="1155"/>
      <c r="G22" s="1143"/>
    </row>
    <row r="23" spans="2:7">
      <c r="B23" s="1156" t="s">
        <v>971</v>
      </c>
      <c r="C23" s="1157" t="s">
        <v>964</v>
      </c>
      <c r="D23" s="1157" t="s">
        <v>965</v>
      </c>
      <c r="E23" s="1158"/>
      <c r="F23" s="1155"/>
      <c r="G23" s="1143"/>
    </row>
    <row r="24" spans="2:7">
      <c r="B24" s="1156" t="s">
        <v>972</v>
      </c>
      <c r="C24" s="1157" t="s">
        <v>973</v>
      </c>
      <c r="D24" s="1157" t="s">
        <v>965</v>
      </c>
      <c r="E24" s="1158"/>
      <c r="F24" s="1155"/>
      <c r="G24" s="1143"/>
    </row>
    <row r="25" spans="2:7">
      <c r="B25" s="1151" t="s">
        <v>974</v>
      </c>
      <c r="C25" s="1152" t="s">
        <v>975</v>
      </c>
      <c r="D25" s="1152" t="s">
        <v>976</v>
      </c>
      <c r="E25" s="1154">
        <v>20</v>
      </c>
      <c r="F25" s="1155"/>
      <c r="G25" s="1143"/>
    </row>
    <row r="26" spans="2:7">
      <c r="B26" s="1156" t="s">
        <v>977</v>
      </c>
      <c r="C26" s="1157" t="s">
        <v>978</v>
      </c>
      <c r="D26" s="1157" t="s">
        <v>976</v>
      </c>
      <c r="E26" s="1158">
        <v>20</v>
      </c>
      <c r="F26" s="1155"/>
      <c r="G26" s="1143"/>
    </row>
    <row r="27" spans="2:7">
      <c r="B27" s="1156" t="s">
        <v>979</v>
      </c>
      <c r="C27" s="1157" t="s">
        <v>980</v>
      </c>
      <c r="D27" s="1157" t="s">
        <v>976</v>
      </c>
      <c r="E27" s="1158"/>
      <c r="F27" s="1155"/>
      <c r="G27" s="1143"/>
    </row>
    <row r="28" spans="2:7">
      <c r="B28" s="1156" t="s">
        <v>981</v>
      </c>
      <c r="C28" s="1157" t="s">
        <v>982</v>
      </c>
      <c r="D28" s="1157" t="s">
        <v>976</v>
      </c>
      <c r="E28" s="1158"/>
      <c r="F28" s="1155"/>
      <c r="G28" s="1143"/>
    </row>
    <row r="29" spans="2:7">
      <c r="B29" s="1156" t="s">
        <v>983</v>
      </c>
      <c r="C29" s="1157" t="s">
        <v>984</v>
      </c>
      <c r="D29" s="1157" t="s">
        <v>976</v>
      </c>
      <c r="E29" s="1158"/>
      <c r="F29" s="1155"/>
      <c r="G29" s="1143"/>
    </row>
    <row r="30" spans="2:7" ht="15.75" thickBot="1">
      <c r="B30" s="1160" t="s">
        <v>985</v>
      </c>
      <c r="C30" s="1161" t="s">
        <v>986</v>
      </c>
      <c r="D30" s="1161" t="s">
        <v>976</v>
      </c>
      <c r="E30" s="1162"/>
      <c r="F30" s="1155"/>
      <c r="G30" s="1143"/>
    </row>
    <row r="31" spans="2:7" ht="15.75" thickBot="1">
      <c r="B31" s="1144"/>
      <c r="C31" s="1140" t="s">
        <v>987</v>
      </c>
      <c r="D31" s="1140"/>
      <c r="E31" s="1145"/>
      <c r="F31" s="1146"/>
      <c r="G31" s="1163"/>
    </row>
    <row r="32" spans="2:7">
      <c r="B32" s="1164" t="s">
        <v>55</v>
      </c>
      <c r="C32" s="1165" t="s">
        <v>988</v>
      </c>
      <c r="D32" s="1166" t="s">
        <v>916</v>
      </c>
      <c r="E32" s="1167">
        <v>20</v>
      </c>
      <c r="F32" s="1168"/>
      <c r="G32" s="1169"/>
    </row>
    <row r="33" spans="2:7">
      <c r="B33" s="1156" t="s">
        <v>141</v>
      </c>
      <c r="C33" s="1170" t="s">
        <v>989</v>
      </c>
      <c r="D33" s="1166" t="s">
        <v>916</v>
      </c>
      <c r="E33" s="1167">
        <v>52</v>
      </c>
      <c r="F33" s="1171"/>
      <c r="G33" s="1172"/>
    </row>
    <row r="34" spans="2:7" ht="15.75" thickBot="1">
      <c r="B34" s="1173" t="s">
        <v>302</v>
      </c>
      <c r="C34" s="1174" t="s">
        <v>990</v>
      </c>
      <c r="D34" s="1175" t="s">
        <v>991</v>
      </c>
      <c r="E34" s="1176">
        <v>53.23</v>
      </c>
      <c r="F34" s="1171"/>
      <c r="G34" s="1172"/>
    </row>
    <row r="35" spans="2:7" ht="15.75" thickBot="1">
      <c r="B35" s="1144"/>
      <c r="C35" s="1140" t="s">
        <v>992</v>
      </c>
      <c r="D35" s="1140"/>
      <c r="E35" s="1145"/>
      <c r="F35" s="1150"/>
      <c r="G35" s="1150"/>
    </row>
    <row r="36" spans="2:7">
      <c r="B36" s="1151" t="s">
        <v>150</v>
      </c>
      <c r="C36" s="1177" t="s">
        <v>993</v>
      </c>
      <c r="D36" s="1152" t="s">
        <v>916</v>
      </c>
      <c r="E36" s="1178">
        <v>10</v>
      </c>
      <c r="F36" s="1179"/>
      <c r="G36" s="1180"/>
    </row>
    <row r="37" spans="2:7">
      <c r="B37" s="1156" t="s">
        <v>410</v>
      </c>
      <c r="C37" s="1170" t="s">
        <v>994</v>
      </c>
      <c r="D37" s="1157" t="s">
        <v>916</v>
      </c>
      <c r="E37" s="1167">
        <v>10</v>
      </c>
      <c r="F37" s="1171"/>
      <c r="G37" s="1171"/>
    </row>
    <row r="38" spans="2:7">
      <c r="B38" s="1181" t="s">
        <v>411</v>
      </c>
      <c r="C38" s="1177" t="s">
        <v>995</v>
      </c>
      <c r="D38" s="1152" t="s">
        <v>742</v>
      </c>
      <c r="E38" s="1154">
        <v>1213.5429999999999</v>
      </c>
      <c r="F38" s="1179"/>
      <c r="G38" s="1182"/>
    </row>
    <row r="39" spans="2:7" ht="25.5">
      <c r="B39" s="1183" t="s">
        <v>996</v>
      </c>
      <c r="C39" s="1184" t="s">
        <v>997</v>
      </c>
      <c r="D39" s="1157" t="s">
        <v>742</v>
      </c>
      <c r="E39" s="1158">
        <v>1213.5429999999999</v>
      </c>
      <c r="F39" s="1357"/>
      <c r="G39" s="1150"/>
    </row>
    <row r="40" spans="2:7">
      <c r="B40" s="1183" t="s">
        <v>998</v>
      </c>
      <c r="C40" s="1184" t="s">
        <v>999</v>
      </c>
      <c r="D40" s="1157" t="s">
        <v>742</v>
      </c>
      <c r="E40" s="1158"/>
      <c r="F40" s="1357"/>
      <c r="G40" s="1150"/>
    </row>
    <row r="41" spans="2:7" ht="25.5">
      <c r="B41" s="1183" t="s">
        <v>1000</v>
      </c>
      <c r="C41" s="1184" t="s">
        <v>1001</v>
      </c>
      <c r="D41" s="1157" t="s">
        <v>742</v>
      </c>
      <c r="E41" s="1158"/>
      <c r="F41" s="1357"/>
      <c r="G41" s="1150"/>
    </row>
    <row r="42" spans="2:7">
      <c r="B42" s="1156" t="s">
        <v>1002</v>
      </c>
      <c r="C42" s="1185" t="s">
        <v>1003</v>
      </c>
      <c r="D42" s="1157" t="s">
        <v>742</v>
      </c>
      <c r="E42" s="1158"/>
      <c r="F42" s="1186"/>
      <c r="G42" s="1150"/>
    </row>
    <row r="43" spans="2:7">
      <c r="B43" s="1151" t="s">
        <v>152</v>
      </c>
      <c r="C43" s="1187" t="s">
        <v>1004</v>
      </c>
      <c r="D43" s="1152" t="s">
        <v>742</v>
      </c>
      <c r="E43" s="1154">
        <v>1213.5429999999999</v>
      </c>
      <c r="F43" s="1150"/>
      <c r="G43" s="1143"/>
    </row>
    <row r="44" spans="2:7">
      <c r="B44" s="1151" t="s">
        <v>160</v>
      </c>
      <c r="C44" s="1177" t="s">
        <v>1005</v>
      </c>
      <c r="D44" s="1152" t="s">
        <v>742</v>
      </c>
      <c r="E44" s="1154"/>
      <c r="F44" s="1150"/>
      <c r="G44" s="1143"/>
    </row>
    <row r="45" spans="2:7">
      <c r="B45" s="1156" t="s">
        <v>412</v>
      </c>
      <c r="C45" s="1170" t="s">
        <v>1006</v>
      </c>
      <c r="D45" s="1157" t="s">
        <v>916</v>
      </c>
      <c r="E45" s="1167"/>
      <c r="F45" s="1150"/>
      <c r="G45" s="1150"/>
    </row>
    <row r="46" spans="2:7">
      <c r="B46" s="1156" t="s">
        <v>1007</v>
      </c>
      <c r="C46" s="1170" t="s">
        <v>1008</v>
      </c>
      <c r="D46" s="1157" t="s">
        <v>916</v>
      </c>
      <c r="E46" s="1167"/>
      <c r="F46" s="1171"/>
      <c r="G46" s="1171"/>
    </row>
    <row r="47" spans="2:7">
      <c r="B47" s="1156" t="s">
        <v>1009</v>
      </c>
      <c r="C47" s="1188" t="s">
        <v>1010</v>
      </c>
      <c r="D47" s="1189" t="s">
        <v>742</v>
      </c>
      <c r="E47" s="1190"/>
      <c r="F47" s="1191"/>
      <c r="G47" s="1191"/>
    </row>
    <row r="48" spans="2:7">
      <c r="B48" s="1156" t="s">
        <v>615</v>
      </c>
      <c r="C48" s="1170" t="s">
        <v>1011</v>
      </c>
      <c r="D48" s="1157" t="s">
        <v>916</v>
      </c>
      <c r="E48" s="1167"/>
      <c r="F48" s="1171"/>
      <c r="G48" s="1171"/>
    </row>
    <row r="49" spans="2:7">
      <c r="B49" s="1156" t="s">
        <v>1012</v>
      </c>
      <c r="C49" s="1188" t="s">
        <v>1013</v>
      </c>
      <c r="D49" s="1189" t="s">
        <v>742</v>
      </c>
      <c r="E49" s="1190"/>
      <c r="F49" s="1191"/>
      <c r="G49" s="1191"/>
    </row>
    <row r="50" spans="2:7">
      <c r="B50" s="1151" t="s">
        <v>162</v>
      </c>
      <c r="C50" s="1177" t="s">
        <v>1014</v>
      </c>
      <c r="D50" s="1152" t="s">
        <v>916</v>
      </c>
      <c r="E50" s="1178">
        <v>19</v>
      </c>
      <c r="F50" s="1171"/>
      <c r="G50" s="1171"/>
    </row>
    <row r="51" spans="2:7">
      <c r="B51" s="1151" t="s">
        <v>418</v>
      </c>
      <c r="C51" s="1177" t="s">
        <v>1015</v>
      </c>
      <c r="D51" s="1152" t="s">
        <v>916</v>
      </c>
      <c r="E51" s="1178">
        <v>6</v>
      </c>
      <c r="F51" s="1171"/>
      <c r="G51" s="1171"/>
    </row>
    <row r="52" spans="2:7">
      <c r="B52" s="1151" t="s">
        <v>419</v>
      </c>
      <c r="C52" s="1177" t="s">
        <v>1016</v>
      </c>
      <c r="D52" s="1152" t="s">
        <v>916</v>
      </c>
      <c r="E52" s="1178"/>
      <c r="F52" s="1191"/>
      <c r="G52" s="1191"/>
    </row>
    <row r="53" spans="2:7">
      <c r="B53" s="1151" t="s">
        <v>424</v>
      </c>
      <c r="C53" s="1177" t="s">
        <v>1017</v>
      </c>
      <c r="D53" s="1152" t="s">
        <v>916</v>
      </c>
      <c r="E53" s="1178"/>
      <c r="F53" s="1191"/>
      <c r="G53" s="1191"/>
    </row>
    <row r="54" spans="2:7">
      <c r="B54" s="1151" t="s">
        <v>428</v>
      </c>
      <c r="C54" s="1177" t="s">
        <v>1018</v>
      </c>
      <c r="D54" s="1157" t="s">
        <v>916</v>
      </c>
      <c r="E54" s="1167">
        <v>44</v>
      </c>
      <c r="F54" s="1191"/>
      <c r="G54" s="1191"/>
    </row>
    <row r="55" spans="2:7">
      <c r="B55" s="1181" t="s">
        <v>431</v>
      </c>
      <c r="C55" s="1177" t="s">
        <v>1019</v>
      </c>
      <c r="D55" s="1152" t="s">
        <v>916</v>
      </c>
      <c r="E55" s="1178"/>
      <c r="F55" s="1191"/>
      <c r="G55" s="1191"/>
    </row>
    <row r="56" spans="2:7" ht="15.75" thickBot="1">
      <c r="B56" s="1173" t="s">
        <v>446</v>
      </c>
      <c r="C56" s="1174" t="s">
        <v>748</v>
      </c>
      <c r="D56" s="1175" t="s">
        <v>736</v>
      </c>
      <c r="E56" s="1176">
        <v>4</v>
      </c>
      <c r="F56" s="1150"/>
      <c r="G56" s="1150"/>
    </row>
    <row r="57" spans="2:7" ht="15.75" thickBot="1">
      <c r="B57" s="1144"/>
      <c r="C57" s="1140" t="s">
        <v>1020</v>
      </c>
      <c r="D57" s="1140"/>
      <c r="E57" s="1145"/>
      <c r="F57" s="1150"/>
      <c r="G57" s="1150"/>
    </row>
    <row r="58" spans="2:7">
      <c r="B58" s="1156" t="s">
        <v>65</v>
      </c>
      <c r="C58" s="1157" t="s">
        <v>1021</v>
      </c>
      <c r="D58" s="1157" t="s">
        <v>916</v>
      </c>
      <c r="E58" s="1167">
        <v>19</v>
      </c>
      <c r="F58" s="1150"/>
      <c r="G58" s="1150"/>
    </row>
    <row r="59" spans="2:7">
      <c r="B59" s="1156" t="s">
        <v>69</v>
      </c>
      <c r="C59" s="1157" t="s">
        <v>1022</v>
      </c>
      <c r="D59" s="1157" t="s">
        <v>916</v>
      </c>
      <c r="E59" s="1167">
        <v>1</v>
      </c>
      <c r="F59" s="1150"/>
      <c r="G59" s="1150"/>
    </row>
    <row r="60" spans="2:7">
      <c r="B60" s="1156" t="s">
        <v>71</v>
      </c>
      <c r="C60" s="1157" t="s">
        <v>1023</v>
      </c>
      <c r="D60" s="1157" t="s">
        <v>916</v>
      </c>
      <c r="E60" s="1167">
        <v>9</v>
      </c>
      <c r="F60" s="1150"/>
      <c r="G60" s="1150"/>
    </row>
    <row r="61" spans="2:7">
      <c r="B61" s="1151" t="s">
        <v>73</v>
      </c>
      <c r="C61" s="1152" t="s">
        <v>1024</v>
      </c>
      <c r="D61" s="1192" t="s">
        <v>736</v>
      </c>
      <c r="E61" s="1154">
        <v>50</v>
      </c>
      <c r="F61" s="1193"/>
      <c r="G61" s="1150"/>
    </row>
    <row r="62" spans="2:7">
      <c r="B62" s="1156" t="s">
        <v>75</v>
      </c>
      <c r="C62" s="1157" t="s">
        <v>1025</v>
      </c>
      <c r="D62" s="1194" t="s">
        <v>1026</v>
      </c>
      <c r="E62" s="1195">
        <f>SUM(E63:E64)</f>
        <v>164.654</v>
      </c>
      <c r="F62" s="1191"/>
      <c r="G62" s="1191"/>
    </row>
    <row r="63" spans="2:7">
      <c r="B63" s="1196" t="s">
        <v>801</v>
      </c>
      <c r="C63" s="1188" t="s">
        <v>1027</v>
      </c>
      <c r="D63" s="1189" t="s">
        <v>1026</v>
      </c>
      <c r="E63" s="1190">
        <v>20</v>
      </c>
      <c r="F63" s="1191"/>
      <c r="G63" s="1191"/>
    </row>
    <row r="64" spans="2:7">
      <c r="B64" s="1196" t="s">
        <v>1028</v>
      </c>
      <c r="C64" s="1188" t="s">
        <v>1029</v>
      </c>
      <c r="D64" s="1189" t="s">
        <v>1026</v>
      </c>
      <c r="E64" s="1190">
        <v>144.654</v>
      </c>
      <c r="F64" s="1150"/>
      <c r="G64" s="1150"/>
    </row>
    <row r="65" spans="2:7">
      <c r="B65" s="1156" t="s">
        <v>466</v>
      </c>
      <c r="C65" s="1157" t="s">
        <v>1030</v>
      </c>
      <c r="D65" s="1157" t="s">
        <v>916</v>
      </c>
      <c r="E65" s="1167">
        <v>4736</v>
      </c>
      <c r="F65" s="1150"/>
      <c r="G65" s="1150"/>
    </row>
    <row r="66" spans="2:7">
      <c r="B66" s="1156" t="s">
        <v>470</v>
      </c>
      <c r="C66" s="1157" t="s">
        <v>1031</v>
      </c>
      <c r="D66" s="1157" t="s">
        <v>916</v>
      </c>
      <c r="E66" s="1167">
        <v>235</v>
      </c>
      <c r="F66" s="1150"/>
      <c r="G66" s="1150"/>
    </row>
    <row r="67" spans="2:7">
      <c r="B67" s="1156" t="s">
        <v>474</v>
      </c>
      <c r="C67" s="1157" t="s">
        <v>1032</v>
      </c>
      <c r="D67" s="1157" t="s">
        <v>916</v>
      </c>
      <c r="E67" s="1167">
        <v>16</v>
      </c>
      <c r="F67" s="1150"/>
      <c r="G67" s="1150"/>
    </row>
    <row r="68" spans="2:7">
      <c r="B68" s="1156" t="s">
        <v>478</v>
      </c>
      <c r="C68" s="1157" t="s">
        <v>1033</v>
      </c>
      <c r="D68" s="1157" t="s">
        <v>916</v>
      </c>
      <c r="E68" s="1167">
        <v>293</v>
      </c>
      <c r="F68" s="1193"/>
      <c r="G68" s="1150"/>
    </row>
    <row r="69" spans="2:7">
      <c r="B69" s="1156" t="s">
        <v>494</v>
      </c>
      <c r="C69" s="1157" t="s">
        <v>1034</v>
      </c>
      <c r="D69" s="1157" t="s">
        <v>916</v>
      </c>
      <c r="E69" s="1197">
        <f>SUM(E70:E72)</f>
        <v>5989</v>
      </c>
      <c r="F69" s="1191"/>
      <c r="G69" s="1191"/>
    </row>
    <row r="70" spans="2:7">
      <c r="B70" s="1196" t="s">
        <v>1035</v>
      </c>
      <c r="C70" s="1188" t="s">
        <v>1036</v>
      </c>
      <c r="D70" s="1189" t="s">
        <v>916</v>
      </c>
      <c r="E70" s="1198">
        <v>5124</v>
      </c>
      <c r="F70" s="1191"/>
      <c r="G70" s="1191"/>
    </row>
    <row r="71" spans="2:7">
      <c r="B71" s="1196" t="s">
        <v>1037</v>
      </c>
      <c r="C71" s="1188" t="s">
        <v>1038</v>
      </c>
      <c r="D71" s="1189" t="s">
        <v>916</v>
      </c>
      <c r="E71" s="1198">
        <v>238</v>
      </c>
      <c r="F71" s="1191"/>
      <c r="G71" s="1191"/>
    </row>
    <row r="72" spans="2:7">
      <c r="B72" s="1196" t="s">
        <v>1039</v>
      </c>
      <c r="C72" s="1188" t="s">
        <v>1040</v>
      </c>
      <c r="D72" s="1189" t="s">
        <v>916</v>
      </c>
      <c r="E72" s="1198">
        <v>627</v>
      </c>
      <c r="F72" s="1150"/>
      <c r="G72" s="1150"/>
    </row>
    <row r="73" spans="2:7">
      <c r="B73" s="1156" t="s">
        <v>495</v>
      </c>
      <c r="C73" s="1157" t="s">
        <v>1041</v>
      </c>
      <c r="D73" s="1157" t="s">
        <v>916</v>
      </c>
      <c r="E73" s="1167">
        <v>5983</v>
      </c>
      <c r="F73" s="1150"/>
      <c r="G73" s="1150"/>
    </row>
    <row r="74" spans="2:7" ht="15.75" thickBot="1">
      <c r="B74" s="1160" t="s">
        <v>631</v>
      </c>
      <c r="C74" s="1161" t="s">
        <v>1042</v>
      </c>
      <c r="D74" s="1161" t="s">
        <v>916</v>
      </c>
      <c r="E74" s="1199">
        <v>83</v>
      </c>
      <c r="F74" s="1200"/>
      <c r="G74" s="1200"/>
    </row>
    <row r="75" spans="2:7" ht="15.75" thickBot="1">
      <c r="B75" s="1144"/>
      <c r="C75" s="1140" t="s">
        <v>1043</v>
      </c>
      <c r="D75" s="1140"/>
      <c r="E75" s="1145"/>
      <c r="F75" s="1155"/>
      <c r="G75" s="1155"/>
    </row>
    <row r="76" spans="2:7">
      <c r="B76" s="1156" t="s">
        <v>497</v>
      </c>
      <c r="C76" s="1157" t="s">
        <v>1044</v>
      </c>
      <c r="D76" s="1157" t="s">
        <v>916</v>
      </c>
      <c r="E76" s="1167">
        <v>5</v>
      </c>
      <c r="F76" s="1155"/>
      <c r="G76" s="1155"/>
    </row>
    <row r="77" spans="2:7">
      <c r="B77" s="1156" t="s">
        <v>171</v>
      </c>
      <c r="C77" s="1157" t="s">
        <v>1045</v>
      </c>
      <c r="D77" s="1157" t="s">
        <v>916</v>
      </c>
      <c r="E77" s="1167">
        <v>71</v>
      </c>
      <c r="F77" s="1155"/>
      <c r="G77" s="1155"/>
    </row>
    <row r="78" spans="2:7">
      <c r="B78" s="1156" t="s">
        <v>173</v>
      </c>
      <c r="C78" s="1157" t="s">
        <v>1046</v>
      </c>
      <c r="D78" s="1157" t="s">
        <v>916</v>
      </c>
      <c r="E78" s="1167">
        <v>133</v>
      </c>
      <c r="F78" s="1155"/>
      <c r="G78" s="1155"/>
    </row>
    <row r="79" spans="2:7">
      <c r="B79" s="1151" t="s">
        <v>175</v>
      </c>
      <c r="C79" s="1152" t="s">
        <v>1047</v>
      </c>
      <c r="D79" s="1192" t="s">
        <v>736</v>
      </c>
      <c r="E79" s="1154">
        <v>17.813300000000002</v>
      </c>
      <c r="F79" s="1155"/>
      <c r="G79" s="1155"/>
    </row>
    <row r="80" spans="2:7">
      <c r="B80" s="1156" t="s">
        <v>177</v>
      </c>
      <c r="C80" s="1157" t="s">
        <v>1048</v>
      </c>
      <c r="D80" s="1157" t="s">
        <v>1026</v>
      </c>
      <c r="E80" s="1158">
        <v>129.81899999999999</v>
      </c>
      <c r="F80" s="1201"/>
      <c r="G80" s="1201"/>
    </row>
    <row r="81" spans="2:7">
      <c r="B81" s="1196" t="s">
        <v>648</v>
      </c>
      <c r="C81" s="1188" t="s">
        <v>1049</v>
      </c>
      <c r="D81" s="1189" t="s">
        <v>1026</v>
      </c>
      <c r="E81" s="1190">
        <v>34.524999999999999</v>
      </c>
      <c r="F81" s="1155"/>
      <c r="G81" s="1155"/>
    </row>
    <row r="82" spans="2:7">
      <c r="B82" s="1156" t="s">
        <v>179</v>
      </c>
      <c r="C82" s="1157" t="s">
        <v>1050</v>
      </c>
      <c r="D82" s="1157" t="s">
        <v>916</v>
      </c>
      <c r="E82" s="1167">
        <v>2840</v>
      </c>
      <c r="F82" s="1155"/>
      <c r="G82" s="1155"/>
    </row>
    <row r="83" spans="2:7">
      <c r="B83" s="1156" t="s">
        <v>181</v>
      </c>
      <c r="C83" s="1157" t="s">
        <v>1051</v>
      </c>
      <c r="D83" s="1157" t="s">
        <v>916</v>
      </c>
      <c r="E83" s="1197">
        <f>SUM(E84:E86)</f>
        <v>6886</v>
      </c>
      <c r="F83" s="1155"/>
      <c r="G83" s="1155"/>
    </row>
    <row r="84" spans="2:7">
      <c r="B84" s="1196" t="s">
        <v>513</v>
      </c>
      <c r="C84" s="1188" t="s">
        <v>1052</v>
      </c>
      <c r="D84" s="1189" t="s">
        <v>916</v>
      </c>
      <c r="E84" s="1198">
        <v>4535</v>
      </c>
      <c r="F84" s="1201"/>
      <c r="G84" s="1201"/>
    </row>
    <row r="85" spans="2:7">
      <c r="B85" s="1196" t="s">
        <v>514</v>
      </c>
      <c r="C85" s="1188" t="s">
        <v>1053</v>
      </c>
      <c r="D85" s="1189" t="s">
        <v>916</v>
      </c>
      <c r="E85" s="1198">
        <v>2148</v>
      </c>
      <c r="F85" s="1201"/>
      <c r="G85" s="1201"/>
    </row>
    <row r="86" spans="2:7">
      <c r="B86" s="1196" t="s">
        <v>515</v>
      </c>
      <c r="C86" s="1188" t="s">
        <v>1054</v>
      </c>
      <c r="D86" s="1189" t="s">
        <v>916</v>
      </c>
      <c r="E86" s="1198">
        <v>203</v>
      </c>
      <c r="F86" s="1155"/>
      <c r="G86" s="1155"/>
    </row>
    <row r="87" spans="2:7" ht="15.75" thickBot="1">
      <c r="B87" s="1160" t="s">
        <v>183</v>
      </c>
      <c r="C87" s="1161" t="s">
        <v>1055</v>
      </c>
      <c r="D87" s="1161" t="s">
        <v>916</v>
      </c>
      <c r="E87" s="1199">
        <v>49</v>
      </c>
      <c r="F87" s="1155"/>
      <c r="G87" s="1155"/>
    </row>
    <row r="88" spans="2:7" ht="15.75" thickBot="1">
      <c r="B88" s="1144"/>
      <c r="C88" s="1140" t="s">
        <v>1056</v>
      </c>
      <c r="D88" s="1140"/>
      <c r="E88" s="1145"/>
      <c r="F88" s="1155"/>
      <c r="G88" s="1155"/>
    </row>
    <row r="89" spans="2:7">
      <c r="B89" s="1156" t="s">
        <v>212</v>
      </c>
      <c r="C89" s="1157" t="s">
        <v>1057</v>
      </c>
      <c r="D89" s="1157" t="s">
        <v>916</v>
      </c>
      <c r="E89" s="1167"/>
      <c r="F89" s="1155"/>
      <c r="G89" s="1155"/>
    </row>
    <row r="90" spans="2:7">
      <c r="B90" s="1156" t="s">
        <v>214</v>
      </c>
      <c r="C90" s="1157" t="s">
        <v>1058</v>
      </c>
      <c r="D90" s="1157" t="s">
        <v>916</v>
      </c>
      <c r="E90" s="1167"/>
      <c r="F90" s="1155"/>
      <c r="G90" s="1155"/>
    </row>
    <row r="91" spans="2:7">
      <c r="B91" s="1156" t="s">
        <v>222</v>
      </c>
      <c r="C91" s="1157" t="s">
        <v>1059</v>
      </c>
      <c r="D91" s="1157" t="s">
        <v>916</v>
      </c>
      <c r="E91" s="1167"/>
      <c r="F91" s="1155"/>
      <c r="G91" s="1155"/>
    </row>
    <row r="92" spans="2:7">
      <c r="B92" s="1156" t="s">
        <v>224</v>
      </c>
      <c r="C92" s="1152" t="s">
        <v>1060</v>
      </c>
      <c r="D92" s="1192" t="s">
        <v>736</v>
      </c>
      <c r="E92" s="1178"/>
      <c r="F92" s="1155"/>
      <c r="G92" s="1155"/>
    </row>
    <row r="93" spans="2:7">
      <c r="B93" s="1156" t="s">
        <v>656</v>
      </c>
      <c r="C93" s="1157" t="s">
        <v>1061</v>
      </c>
      <c r="D93" s="1157" t="s">
        <v>1026</v>
      </c>
      <c r="E93" s="1158">
        <v>9.8490000000000002</v>
      </c>
      <c r="F93" s="1155"/>
      <c r="G93" s="1155"/>
    </row>
    <row r="94" spans="2:7">
      <c r="B94" s="1196" t="s">
        <v>1062</v>
      </c>
      <c r="C94" s="1188" t="s">
        <v>1049</v>
      </c>
      <c r="D94" s="1189" t="s">
        <v>1026</v>
      </c>
      <c r="E94" s="1198"/>
      <c r="F94" s="1155"/>
      <c r="G94" s="1155"/>
    </row>
    <row r="95" spans="2:7">
      <c r="B95" s="1156" t="s">
        <v>658</v>
      </c>
      <c r="C95" s="1157" t="s">
        <v>1063</v>
      </c>
      <c r="D95" s="1157" t="s">
        <v>916</v>
      </c>
      <c r="E95" s="1167"/>
      <c r="F95" s="1155"/>
      <c r="G95" s="1155"/>
    </row>
    <row r="96" spans="2:7">
      <c r="B96" s="1156" t="s">
        <v>660</v>
      </c>
      <c r="C96" s="1157" t="s">
        <v>1064</v>
      </c>
      <c r="D96" s="1157" t="s">
        <v>916</v>
      </c>
      <c r="E96" s="1167"/>
      <c r="F96" s="1155"/>
      <c r="G96" s="1155"/>
    </row>
    <row r="97" spans="2:7" ht="15.75" thickBot="1">
      <c r="B97" s="1160" t="s">
        <v>662</v>
      </c>
      <c r="C97" s="1161" t="s">
        <v>1065</v>
      </c>
      <c r="D97" s="1161" t="s">
        <v>916</v>
      </c>
      <c r="E97" s="1199"/>
      <c r="F97" s="1200"/>
      <c r="G97" s="1200"/>
    </row>
    <row r="98" spans="2:7" ht="15.75" thickBot="1">
      <c r="B98" s="1144"/>
      <c r="C98" s="1140" t="s">
        <v>1066</v>
      </c>
      <c r="D98" s="1140"/>
      <c r="E98" s="1145"/>
      <c r="F98" s="1202"/>
      <c r="G98" s="1202"/>
    </row>
    <row r="99" spans="2:7">
      <c r="B99" s="1156" t="s">
        <v>83</v>
      </c>
      <c r="C99" s="1203" t="s">
        <v>1067</v>
      </c>
      <c r="D99" s="1194" t="s">
        <v>916</v>
      </c>
      <c r="E99" s="1204">
        <v>1</v>
      </c>
      <c r="F99" s="1202"/>
      <c r="G99" s="1202"/>
    </row>
    <row r="100" spans="2:7">
      <c r="B100" s="1156" t="s">
        <v>85</v>
      </c>
      <c r="C100" s="1205" t="s">
        <v>1068</v>
      </c>
      <c r="D100" s="1157" t="s">
        <v>1069</v>
      </c>
      <c r="E100" s="1167">
        <v>2</v>
      </c>
      <c r="F100" s="1155"/>
      <c r="G100" s="1155"/>
    </row>
    <row r="101" spans="2:7">
      <c r="B101" s="1156" t="s">
        <v>1070</v>
      </c>
      <c r="C101" s="1206" t="s">
        <v>1071</v>
      </c>
      <c r="D101" s="1157" t="s">
        <v>742</v>
      </c>
      <c r="E101" s="1158"/>
      <c r="F101" s="1202"/>
      <c r="G101" s="1202"/>
    </row>
    <row r="102" spans="2:7">
      <c r="B102" s="1156" t="s">
        <v>1072</v>
      </c>
      <c r="C102" s="1205" t="s">
        <v>1073</v>
      </c>
      <c r="D102" s="1157" t="s">
        <v>916</v>
      </c>
      <c r="E102" s="1167"/>
      <c r="F102" s="1155"/>
      <c r="G102" s="1155"/>
    </row>
    <row r="103" spans="2:7">
      <c r="B103" s="1156" t="s">
        <v>1074</v>
      </c>
      <c r="C103" s="1206" t="s">
        <v>1075</v>
      </c>
      <c r="D103" s="1157" t="s">
        <v>742</v>
      </c>
      <c r="E103" s="1158"/>
      <c r="F103" s="1202"/>
      <c r="G103" s="1202"/>
    </row>
    <row r="104" spans="2:7">
      <c r="B104" s="1156" t="s">
        <v>1076</v>
      </c>
      <c r="C104" s="1205" t="s">
        <v>1077</v>
      </c>
      <c r="D104" s="1157" t="s">
        <v>916</v>
      </c>
      <c r="E104" s="1167">
        <v>5</v>
      </c>
      <c r="F104" s="1155"/>
      <c r="G104" s="1155"/>
    </row>
    <row r="105" spans="2:7">
      <c r="B105" s="1156" t="s">
        <v>1078</v>
      </c>
      <c r="C105" s="1206" t="s">
        <v>1079</v>
      </c>
      <c r="D105" s="1157" t="s">
        <v>742</v>
      </c>
      <c r="E105" s="1158">
        <v>556.70000000000005</v>
      </c>
      <c r="F105" s="1202"/>
      <c r="G105" s="1202"/>
    </row>
    <row r="106" spans="2:7">
      <c r="B106" s="1156" t="s">
        <v>1080</v>
      </c>
      <c r="C106" s="1205" t="s">
        <v>1081</v>
      </c>
      <c r="D106" s="1157" t="s">
        <v>916</v>
      </c>
      <c r="E106" s="1167"/>
      <c r="F106" s="1207"/>
      <c r="G106" s="1202"/>
    </row>
    <row r="107" spans="2:7">
      <c r="B107" s="1156" t="s">
        <v>1082</v>
      </c>
      <c r="C107" s="1206" t="s">
        <v>1083</v>
      </c>
      <c r="D107" s="1157" t="s">
        <v>742</v>
      </c>
      <c r="E107" s="1158"/>
      <c r="F107" s="1180"/>
      <c r="G107" s="1180"/>
    </row>
    <row r="108" spans="2:7">
      <c r="B108" s="1156" t="s">
        <v>1084</v>
      </c>
      <c r="C108" s="1206" t="s">
        <v>1085</v>
      </c>
      <c r="D108" s="1157" t="s">
        <v>916</v>
      </c>
      <c r="E108" s="1167">
        <v>14</v>
      </c>
      <c r="F108" s="1201"/>
      <c r="G108" s="1201"/>
    </row>
    <row r="109" spans="2:7">
      <c r="B109" s="1156" t="s">
        <v>1086</v>
      </c>
      <c r="C109" s="1206" t="s">
        <v>1087</v>
      </c>
      <c r="D109" s="1157" t="s">
        <v>916</v>
      </c>
      <c r="E109" s="1167">
        <v>16</v>
      </c>
      <c r="F109" s="1201"/>
      <c r="G109" s="1201"/>
    </row>
    <row r="110" spans="2:7">
      <c r="B110" s="1208" t="s">
        <v>1088</v>
      </c>
      <c r="C110" s="1209" t="s">
        <v>1089</v>
      </c>
      <c r="D110" s="1159" t="s">
        <v>916</v>
      </c>
      <c r="E110" s="1210">
        <v>26</v>
      </c>
      <c r="F110" s="1155"/>
      <c r="G110" s="1155"/>
    </row>
    <row r="111" spans="2:7">
      <c r="B111" s="1211" t="s">
        <v>1090</v>
      </c>
      <c r="C111" s="1212" t="s">
        <v>1091</v>
      </c>
      <c r="D111" s="1213"/>
      <c r="E111" s="1214"/>
      <c r="F111" s="1202"/>
      <c r="G111" s="1202"/>
    </row>
    <row r="112" spans="2:7">
      <c r="B112" s="1215" t="s">
        <v>1092</v>
      </c>
      <c r="C112" s="1203" t="s">
        <v>1093</v>
      </c>
      <c r="D112" s="1194" t="s">
        <v>965</v>
      </c>
      <c r="E112" s="1216">
        <v>551.13</v>
      </c>
      <c r="F112" s="1202"/>
      <c r="G112" s="1202"/>
    </row>
    <row r="113" spans="2:7">
      <c r="B113" s="1156" t="s">
        <v>1094</v>
      </c>
      <c r="C113" s="1205" t="s">
        <v>1095</v>
      </c>
      <c r="D113" s="1157" t="s">
        <v>965</v>
      </c>
      <c r="E113" s="1158">
        <v>263.11</v>
      </c>
      <c r="F113" s="1202"/>
      <c r="G113" s="1202"/>
    </row>
    <row r="114" spans="2:7">
      <c r="B114" s="1156" t="s">
        <v>1096</v>
      </c>
      <c r="C114" s="1205" t="s">
        <v>1097</v>
      </c>
      <c r="D114" s="1157" t="s">
        <v>965</v>
      </c>
      <c r="E114" s="1158"/>
      <c r="F114" s="1202"/>
      <c r="G114" s="1202"/>
    </row>
    <row r="115" spans="2:7">
      <c r="B115" s="1156" t="s">
        <v>1098</v>
      </c>
      <c r="C115" s="1205" t="s">
        <v>1099</v>
      </c>
      <c r="D115" s="1157" t="s">
        <v>965</v>
      </c>
      <c r="E115" s="1158">
        <v>144.88</v>
      </c>
      <c r="F115" s="1202"/>
      <c r="G115" s="1202"/>
    </row>
    <row r="116" spans="2:7">
      <c r="B116" s="1208" t="s">
        <v>1100</v>
      </c>
      <c r="C116" s="1217" t="s">
        <v>1101</v>
      </c>
      <c r="D116" s="1159" t="s">
        <v>965</v>
      </c>
      <c r="E116" s="1218">
        <v>13.9</v>
      </c>
      <c r="F116" s="1155"/>
      <c r="G116" s="1155"/>
    </row>
    <row r="117" spans="2:7">
      <c r="B117" s="1211" t="s">
        <v>1102</v>
      </c>
      <c r="C117" s="1212" t="s">
        <v>1103</v>
      </c>
      <c r="D117" s="1213"/>
      <c r="E117" s="1219"/>
      <c r="F117" s="1202"/>
      <c r="G117" s="1202"/>
    </row>
    <row r="118" spans="2:7">
      <c r="B118" s="1215" t="s">
        <v>1104</v>
      </c>
      <c r="C118" s="1203" t="s">
        <v>1105</v>
      </c>
      <c r="D118" s="1194" t="s">
        <v>965</v>
      </c>
      <c r="E118" s="1216">
        <v>9.33</v>
      </c>
      <c r="F118" s="1202"/>
      <c r="G118" s="1202"/>
    </row>
    <row r="119" spans="2:7">
      <c r="B119" s="1156" t="s">
        <v>1106</v>
      </c>
      <c r="C119" s="1205" t="s">
        <v>1095</v>
      </c>
      <c r="D119" s="1157" t="s">
        <v>965</v>
      </c>
      <c r="E119" s="1158">
        <v>8.26</v>
      </c>
      <c r="F119" s="1202"/>
      <c r="G119" s="1202"/>
    </row>
    <row r="120" spans="2:7">
      <c r="B120" s="1156" t="s">
        <v>1107</v>
      </c>
      <c r="C120" s="1205" t="s">
        <v>1097</v>
      </c>
      <c r="D120" s="1157" t="s">
        <v>965</v>
      </c>
      <c r="E120" s="1158"/>
      <c r="F120" s="1202"/>
      <c r="G120" s="1202"/>
    </row>
    <row r="121" spans="2:7">
      <c r="B121" s="1156" t="s">
        <v>1108</v>
      </c>
      <c r="C121" s="1205" t="s">
        <v>1099</v>
      </c>
      <c r="D121" s="1157" t="s">
        <v>965</v>
      </c>
      <c r="E121" s="1158">
        <v>13.7</v>
      </c>
      <c r="F121" s="1202"/>
      <c r="G121" s="1202"/>
    </row>
    <row r="122" spans="2:7">
      <c r="B122" s="1156" t="s">
        <v>1109</v>
      </c>
      <c r="C122" s="1205" t="s">
        <v>1101</v>
      </c>
      <c r="D122" s="1157" t="s">
        <v>965</v>
      </c>
      <c r="E122" s="1158">
        <v>0.6</v>
      </c>
      <c r="F122" s="1155"/>
      <c r="G122" s="1155"/>
    </row>
    <row r="123" spans="2:7">
      <c r="B123" s="1220" t="s">
        <v>1110</v>
      </c>
      <c r="C123" s="1212" t="s">
        <v>1111</v>
      </c>
      <c r="D123" s="1213"/>
      <c r="E123" s="1221"/>
      <c r="F123" s="1155"/>
      <c r="G123" s="1155"/>
    </row>
    <row r="124" spans="2:7">
      <c r="B124" s="1156" t="s">
        <v>1112</v>
      </c>
      <c r="C124" s="1205" t="s">
        <v>1113</v>
      </c>
      <c r="D124" s="1157" t="s">
        <v>764</v>
      </c>
      <c r="E124" s="1158"/>
      <c r="F124" s="1155"/>
      <c r="G124" s="1155"/>
    </row>
    <row r="125" spans="2:7">
      <c r="B125" s="1156" t="s">
        <v>1114</v>
      </c>
      <c r="C125" s="1205" t="s">
        <v>1115</v>
      </c>
      <c r="D125" s="1157" t="s">
        <v>764</v>
      </c>
      <c r="E125" s="1158"/>
      <c r="F125" s="1155"/>
      <c r="G125" s="1155"/>
    </row>
    <row r="126" spans="2:7">
      <c r="B126" s="1156" t="s">
        <v>1116</v>
      </c>
      <c r="C126" s="1205" t="s">
        <v>1117</v>
      </c>
      <c r="D126" s="1157" t="s">
        <v>764</v>
      </c>
      <c r="E126" s="1158"/>
      <c r="F126" s="1155"/>
      <c r="G126" s="1155"/>
    </row>
    <row r="127" spans="2:7">
      <c r="B127" s="1208" t="s">
        <v>1118</v>
      </c>
      <c r="C127" s="1217" t="s">
        <v>1119</v>
      </c>
      <c r="D127" s="1159" t="s">
        <v>764</v>
      </c>
      <c r="E127" s="1218"/>
      <c r="F127" s="1155"/>
      <c r="G127" s="1155"/>
    </row>
    <row r="128" spans="2:7">
      <c r="B128" s="1211" t="s">
        <v>1120</v>
      </c>
      <c r="C128" s="1212" t="s">
        <v>1121</v>
      </c>
      <c r="D128" s="1213"/>
      <c r="E128" s="1214"/>
      <c r="F128" s="1155"/>
      <c r="G128" s="1155"/>
    </row>
    <row r="129" spans="2:7">
      <c r="B129" s="1208" t="s">
        <v>1122</v>
      </c>
      <c r="C129" s="1217" t="s">
        <v>1093</v>
      </c>
      <c r="D129" s="1159" t="s">
        <v>764</v>
      </c>
      <c r="E129" s="1222">
        <f>(E112-E118)*E130/1000</f>
        <v>301.62006000000002</v>
      </c>
      <c r="F129" s="1155"/>
      <c r="G129" s="1155"/>
    </row>
    <row r="130" spans="2:7" ht="15.75" thickBot="1">
      <c r="B130" s="1223" t="s">
        <v>1123</v>
      </c>
      <c r="C130" s="1224" t="s">
        <v>1124</v>
      </c>
      <c r="D130" s="1161" t="s">
        <v>742</v>
      </c>
      <c r="E130" s="1225">
        <f>VAS077_F_Isvalytasbuiti1AtaskaitinisLaikotarpis</f>
        <v>556.70000000000005</v>
      </c>
      <c r="F130" s="1155"/>
      <c r="G130" s="1155"/>
    </row>
    <row r="131" spans="2:7" ht="15.75" thickBot="1">
      <c r="B131" s="1144"/>
      <c r="C131" s="1140" t="s">
        <v>1125</v>
      </c>
      <c r="D131" s="1140"/>
      <c r="E131" s="1145"/>
      <c r="F131" s="1155"/>
      <c r="G131" s="1155"/>
    </row>
    <row r="132" spans="2:7">
      <c r="B132" s="1226" t="s">
        <v>1126</v>
      </c>
      <c r="C132" s="1227" t="s">
        <v>1127</v>
      </c>
      <c r="D132" s="1157" t="s">
        <v>742</v>
      </c>
      <c r="E132" s="1228">
        <v>78.099999999999994</v>
      </c>
      <c r="F132" s="1155"/>
      <c r="G132" s="1155"/>
    </row>
    <row r="133" spans="2:7">
      <c r="B133" s="1156" t="s">
        <v>1128</v>
      </c>
      <c r="C133" s="1206" t="s">
        <v>1129</v>
      </c>
      <c r="D133" s="1157" t="s">
        <v>916</v>
      </c>
      <c r="E133" s="1167"/>
      <c r="F133" s="1155"/>
      <c r="G133" s="1155"/>
    </row>
    <row r="134" spans="2:7">
      <c r="B134" s="1229" t="s">
        <v>1130</v>
      </c>
      <c r="C134" s="1230" t="s">
        <v>1131</v>
      </c>
      <c r="D134" s="1231" t="s">
        <v>916</v>
      </c>
      <c r="E134" s="1210"/>
      <c r="F134" s="1155"/>
      <c r="G134" s="1155"/>
    </row>
    <row r="135" spans="2:7">
      <c r="B135" s="1211" t="s">
        <v>1132</v>
      </c>
      <c r="C135" s="1212" t="s">
        <v>1133</v>
      </c>
      <c r="D135" s="1213"/>
      <c r="E135" s="1214"/>
      <c r="F135" s="1155"/>
      <c r="G135" s="1155"/>
    </row>
    <row r="136" spans="2:7">
      <c r="B136" s="1215" t="s">
        <v>1134</v>
      </c>
      <c r="C136" s="1203" t="s">
        <v>1093</v>
      </c>
      <c r="D136" s="1194" t="s">
        <v>965</v>
      </c>
      <c r="E136" s="1216"/>
      <c r="F136" s="1155"/>
      <c r="G136" s="1155"/>
    </row>
    <row r="137" spans="2:7">
      <c r="B137" s="1156" t="s">
        <v>1135</v>
      </c>
      <c r="C137" s="1205" t="s">
        <v>1095</v>
      </c>
      <c r="D137" s="1157" t="s">
        <v>965</v>
      </c>
      <c r="E137" s="1158"/>
      <c r="F137" s="1155"/>
      <c r="G137" s="1155"/>
    </row>
    <row r="138" spans="2:7">
      <c r="B138" s="1156" t="s">
        <v>1136</v>
      </c>
      <c r="C138" s="1205" t="s">
        <v>1137</v>
      </c>
      <c r="D138" s="1157" t="s">
        <v>965</v>
      </c>
      <c r="E138" s="1158"/>
      <c r="F138" s="1155"/>
      <c r="G138" s="1155"/>
    </row>
    <row r="139" spans="2:7">
      <c r="B139" s="1211" t="s">
        <v>1138</v>
      </c>
      <c r="C139" s="1212" t="s">
        <v>1139</v>
      </c>
      <c r="D139" s="1213"/>
      <c r="E139" s="1219"/>
      <c r="F139" s="1155"/>
      <c r="G139" s="1155"/>
    </row>
    <row r="140" spans="2:7">
      <c r="B140" s="1215" t="s">
        <v>1140</v>
      </c>
      <c r="C140" s="1203" t="s">
        <v>1105</v>
      </c>
      <c r="D140" s="1194" t="s">
        <v>965</v>
      </c>
      <c r="E140" s="1216"/>
      <c r="F140" s="1155"/>
      <c r="G140" s="1155"/>
    </row>
    <row r="141" spans="2:7">
      <c r="B141" s="1156" t="s">
        <v>1141</v>
      </c>
      <c r="C141" s="1205" t="s">
        <v>1095</v>
      </c>
      <c r="D141" s="1157" t="s">
        <v>965</v>
      </c>
      <c r="E141" s="1158"/>
      <c r="F141" s="1155"/>
      <c r="G141" s="1155"/>
    </row>
    <row r="142" spans="2:7">
      <c r="B142" s="1208" t="s">
        <v>1142</v>
      </c>
      <c r="C142" s="1217" t="s">
        <v>1137</v>
      </c>
      <c r="D142" s="1159" t="s">
        <v>965</v>
      </c>
      <c r="E142" s="1218"/>
      <c r="F142" s="1155"/>
      <c r="G142" s="1155"/>
    </row>
    <row r="143" spans="2:7">
      <c r="B143" s="1211" t="s">
        <v>1143</v>
      </c>
      <c r="C143" s="1212" t="s">
        <v>1121</v>
      </c>
      <c r="D143" s="1212"/>
      <c r="E143" s="1214"/>
      <c r="F143" s="1155"/>
      <c r="G143" s="1155"/>
    </row>
    <row r="144" spans="2:7" ht="15.75" thickBot="1">
      <c r="B144" s="1160" t="s">
        <v>1144</v>
      </c>
      <c r="C144" s="1205" t="s">
        <v>1093</v>
      </c>
      <c r="D144" s="1157" t="s">
        <v>764</v>
      </c>
      <c r="E144" s="1195">
        <f>(E136-E140)*E132/1000</f>
        <v>0</v>
      </c>
      <c r="F144" s="1200"/>
      <c r="G144" s="1200"/>
    </row>
    <row r="145" spans="2:7" ht="15.75" thickBot="1">
      <c r="B145" s="1144"/>
      <c r="C145" s="1140" t="s">
        <v>1145</v>
      </c>
      <c r="D145" s="1140"/>
      <c r="E145" s="1145"/>
      <c r="F145" s="1200"/>
      <c r="G145" s="1200"/>
    </row>
    <row r="146" spans="2:7">
      <c r="B146" s="1226" t="s">
        <v>9</v>
      </c>
      <c r="C146" s="1232" t="s">
        <v>1146</v>
      </c>
      <c r="D146" s="1157" t="s">
        <v>742</v>
      </c>
      <c r="E146" s="1228">
        <v>0.77100000000000002</v>
      </c>
      <c r="F146" s="1200"/>
      <c r="G146" s="1200"/>
    </row>
    <row r="147" spans="2:7">
      <c r="B147" s="1156" t="s">
        <v>1147</v>
      </c>
      <c r="C147" s="1233" t="s">
        <v>1148</v>
      </c>
      <c r="D147" s="1234" t="s">
        <v>904</v>
      </c>
      <c r="E147" s="1235">
        <v>0.88</v>
      </c>
      <c r="F147" s="1200"/>
      <c r="G147" s="1200"/>
    </row>
    <row r="148" spans="2:7">
      <c r="B148" s="1156" t="s">
        <v>1149</v>
      </c>
      <c r="C148" s="1233" t="s">
        <v>1150</v>
      </c>
      <c r="D148" s="1157" t="s">
        <v>1151</v>
      </c>
      <c r="E148" s="1158">
        <v>9.2499999999999999E-2</v>
      </c>
      <c r="F148" s="1200"/>
      <c r="G148" s="1200"/>
    </row>
    <row r="149" spans="2:7" ht="15.75" thickBot="1">
      <c r="B149" s="1236" t="s">
        <v>1152</v>
      </c>
      <c r="C149" s="1237" t="s">
        <v>1153</v>
      </c>
      <c r="D149" s="1238" t="s">
        <v>916</v>
      </c>
      <c r="E149" s="1239">
        <v>8</v>
      </c>
      <c r="F149" s="1200"/>
      <c r="G149" s="1200"/>
    </row>
    <row r="150" spans="2:7">
      <c r="B150" s="1240" t="s">
        <v>1154</v>
      </c>
      <c r="C150" s="1241" t="s">
        <v>1155</v>
      </c>
      <c r="D150" s="1241"/>
      <c r="E150" s="1242"/>
      <c r="F150" s="1155"/>
      <c r="G150" s="1155"/>
    </row>
    <row r="151" spans="2:7">
      <c r="B151" s="1215" t="s">
        <v>1156</v>
      </c>
      <c r="C151" s="1243" t="s">
        <v>1157</v>
      </c>
      <c r="D151" s="1157" t="s">
        <v>742</v>
      </c>
      <c r="E151" s="1158">
        <v>0.77100000000000002</v>
      </c>
      <c r="F151" s="1201"/>
      <c r="G151" s="1201"/>
    </row>
    <row r="152" spans="2:7">
      <c r="B152" s="1156" t="s">
        <v>1158</v>
      </c>
      <c r="C152" s="1233" t="s">
        <v>1159</v>
      </c>
      <c r="D152" s="1234" t="s">
        <v>904</v>
      </c>
      <c r="E152" s="1235">
        <v>0.88</v>
      </c>
      <c r="F152" s="1155"/>
      <c r="G152" s="1155"/>
    </row>
    <row r="153" spans="2:7">
      <c r="B153" s="1215" t="s">
        <v>1160</v>
      </c>
      <c r="C153" s="1244" t="s">
        <v>1161</v>
      </c>
      <c r="D153" s="1238" t="s">
        <v>1151</v>
      </c>
      <c r="E153" s="1158">
        <v>9.2499999999999999E-2</v>
      </c>
      <c r="F153" s="1155"/>
      <c r="G153" s="1155"/>
    </row>
    <row r="154" spans="2:7" ht="15.75" thickBot="1">
      <c r="B154" s="1208" t="s">
        <v>1162</v>
      </c>
      <c r="C154" s="1245" t="s">
        <v>1163</v>
      </c>
      <c r="D154" s="1159" t="s">
        <v>916</v>
      </c>
      <c r="E154" s="1210">
        <v>3</v>
      </c>
      <c r="F154" s="1155"/>
      <c r="G154" s="1155"/>
    </row>
    <row r="155" spans="2:7">
      <c r="B155" s="1240" t="s">
        <v>1164</v>
      </c>
      <c r="C155" s="1241" t="s">
        <v>1165</v>
      </c>
      <c r="D155" s="1241"/>
      <c r="E155" s="1246"/>
      <c r="F155" s="1155"/>
      <c r="G155" s="1155"/>
    </row>
    <row r="156" spans="2:7">
      <c r="B156" s="1156" t="s">
        <v>1166</v>
      </c>
      <c r="C156" s="1233" t="s">
        <v>1167</v>
      </c>
      <c r="D156" s="1157" t="s">
        <v>742</v>
      </c>
      <c r="E156" s="1158"/>
      <c r="F156" s="1155"/>
      <c r="G156" s="1155"/>
    </row>
    <row r="157" spans="2:7">
      <c r="B157" s="1156" t="s">
        <v>1168</v>
      </c>
      <c r="C157" s="1233" t="s">
        <v>1169</v>
      </c>
      <c r="D157" s="1234" t="s">
        <v>904</v>
      </c>
      <c r="E157" s="1235"/>
      <c r="F157" s="1155"/>
      <c r="G157" s="1155"/>
    </row>
    <row r="158" spans="2:7">
      <c r="B158" s="1156" t="s">
        <v>1170</v>
      </c>
      <c r="C158" s="1244" t="s">
        <v>1171</v>
      </c>
      <c r="D158" s="1238" t="s">
        <v>1151</v>
      </c>
      <c r="E158" s="1158"/>
      <c r="F158" s="1155"/>
      <c r="G158" s="1155"/>
    </row>
    <row r="159" spans="2:7" ht="15.75" thickBot="1">
      <c r="B159" s="1208" t="s">
        <v>1172</v>
      </c>
      <c r="C159" s="1245" t="s">
        <v>1173</v>
      </c>
      <c r="D159" s="1159" t="s">
        <v>916</v>
      </c>
      <c r="E159" s="1210"/>
      <c r="F159" s="1155"/>
      <c r="G159" s="1155"/>
    </row>
    <row r="160" spans="2:7">
      <c r="B160" s="1240" t="s">
        <v>1174</v>
      </c>
      <c r="C160" s="1241" t="s">
        <v>1175</v>
      </c>
      <c r="D160" s="1241"/>
      <c r="E160" s="1247"/>
      <c r="F160" s="1155"/>
      <c r="G160" s="1155"/>
    </row>
    <row r="161" spans="2:7">
      <c r="B161" s="1156" t="s">
        <v>1176</v>
      </c>
      <c r="C161" s="1248" t="s">
        <v>1177</v>
      </c>
      <c r="D161" s="1157" t="s">
        <v>742</v>
      </c>
      <c r="E161" s="1158"/>
      <c r="F161" s="1155"/>
      <c r="G161" s="1155"/>
    </row>
    <row r="162" spans="2:7">
      <c r="B162" s="1156" t="s">
        <v>1178</v>
      </c>
      <c r="C162" s="1248" t="s">
        <v>1179</v>
      </c>
      <c r="D162" s="1157" t="s">
        <v>904</v>
      </c>
      <c r="E162" s="1235"/>
      <c r="F162" s="1155"/>
      <c r="G162" s="1155"/>
    </row>
    <row r="163" spans="2:7">
      <c r="B163" s="1156" t="s">
        <v>1180</v>
      </c>
      <c r="C163" s="1248" t="s">
        <v>1181</v>
      </c>
      <c r="D163" s="1157" t="s">
        <v>1182</v>
      </c>
      <c r="E163" s="1158"/>
      <c r="F163" s="1155"/>
      <c r="G163" s="1155"/>
    </row>
    <row r="164" spans="2:7" ht="15.75" thickBot="1">
      <c r="B164" s="1208" t="s">
        <v>1183</v>
      </c>
      <c r="C164" s="1245" t="s">
        <v>1184</v>
      </c>
      <c r="D164" s="1159" t="s">
        <v>916</v>
      </c>
      <c r="E164" s="1210"/>
      <c r="F164" s="1155"/>
      <c r="G164" s="1155"/>
    </row>
    <row r="165" spans="2:7">
      <c r="B165" s="1240" t="s">
        <v>1185</v>
      </c>
      <c r="C165" s="1249" t="s">
        <v>1186</v>
      </c>
      <c r="D165" s="1250"/>
      <c r="E165" s="1251"/>
      <c r="F165" s="1155"/>
      <c r="G165" s="1155"/>
    </row>
    <row r="166" spans="2:7">
      <c r="B166" s="1156" t="s">
        <v>1187</v>
      </c>
      <c r="C166" s="1233" t="s">
        <v>1188</v>
      </c>
      <c r="D166" s="1157" t="s">
        <v>742</v>
      </c>
      <c r="E166" s="1158"/>
      <c r="F166" s="1155"/>
      <c r="G166" s="1155"/>
    </row>
    <row r="167" spans="2:7">
      <c r="B167" s="1156" t="s">
        <v>1189</v>
      </c>
      <c r="C167" s="1233" t="s">
        <v>1190</v>
      </c>
      <c r="D167" s="1234" t="s">
        <v>904</v>
      </c>
      <c r="E167" s="1235"/>
      <c r="F167" s="1155"/>
      <c r="G167" s="1155"/>
    </row>
    <row r="168" spans="2:7">
      <c r="B168" s="1215" t="s">
        <v>1191</v>
      </c>
      <c r="C168" s="1244" t="s">
        <v>1192</v>
      </c>
      <c r="D168" s="1238" t="s">
        <v>1151</v>
      </c>
      <c r="E168" s="1158"/>
      <c r="F168" s="1155"/>
      <c r="G168" s="1155"/>
    </row>
    <row r="169" spans="2:7" ht="15.75" thickBot="1">
      <c r="B169" s="1208" t="s">
        <v>1193</v>
      </c>
      <c r="C169" s="1245" t="s">
        <v>1194</v>
      </c>
      <c r="D169" s="1159" t="s">
        <v>916</v>
      </c>
      <c r="E169" s="1210"/>
      <c r="F169" s="1155"/>
      <c r="G169" s="1155"/>
    </row>
    <row r="170" spans="2:7">
      <c r="B170" s="1240" t="s">
        <v>1195</v>
      </c>
      <c r="C170" s="1241" t="s">
        <v>1196</v>
      </c>
      <c r="D170" s="1241"/>
      <c r="E170" s="1246"/>
      <c r="F170" s="1155"/>
      <c r="G170" s="1155"/>
    </row>
    <row r="171" spans="2:7">
      <c r="B171" s="1156" t="s">
        <v>1197</v>
      </c>
      <c r="C171" s="1252" t="s">
        <v>1198</v>
      </c>
      <c r="D171" s="1157" t="s">
        <v>742</v>
      </c>
      <c r="E171" s="1158"/>
      <c r="F171" s="1155"/>
      <c r="G171" s="1155"/>
    </row>
    <row r="172" spans="2:7">
      <c r="B172" s="1156" t="s">
        <v>1199</v>
      </c>
      <c r="C172" s="1253" t="s">
        <v>1200</v>
      </c>
      <c r="D172" s="1234" t="s">
        <v>904</v>
      </c>
      <c r="E172" s="1235"/>
      <c r="F172" s="1155"/>
      <c r="G172" s="1155"/>
    </row>
    <row r="173" spans="2:7">
      <c r="B173" s="1156" t="s">
        <v>1201</v>
      </c>
      <c r="C173" s="1253" t="s">
        <v>1202</v>
      </c>
      <c r="D173" s="1194" t="s">
        <v>1151</v>
      </c>
      <c r="E173" s="1158"/>
      <c r="F173" s="1155"/>
      <c r="G173" s="1155"/>
    </row>
    <row r="174" spans="2:7">
      <c r="B174" s="1156" t="s">
        <v>1203</v>
      </c>
      <c r="C174" s="1254" t="s">
        <v>1204</v>
      </c>
      <c r="D174" s="1238" t="s">
        <v>1151</v>
      </c>
      <c r="E174" s="1158"/>
      <c r="F174" s="1155"/>
      <c r="G174" s="1155"/>
    </row>
    <row r="175" spans="2:7" ht="15.75" thickBot="1">
      <c r="B175" s="1208" t="s">
        <v>1205</v>
      </c>
      <c r="C175" s="1245" t="s">
        <v>1153</v>
      </c>
      <c r="D175" s="1159" t="s">
        <v>916</v>
      </c>
      <c r="E175" s="1210"/>
      <c r="F175" s="1155"/>
      <c r="G175" s="1155"/>
    </row>
    <row r="176" spans="2:7">
      <c r="B176" s="1240" t="s">
        <v>1206</v>
      </c>
      <c r="C176" s="1241" t="s">
        <v>1207</v>
      </c>
      <c r="D176" s="1241"/>
      <c r="E176" s="1246"/>
      <c r="F176" s="1155"/>
      <c r="G176" s="1155"/>
    </row>
    <row r="177" spans="2:7">
      <c r="B177" s="1255" t="s">
        <v>1208</v>
      </c>
      <c r="C177" s="1252" t="s">
        <v>1209</v>
      </c>
      <c r="D177" s="1157" t="s">
        <v>742</v>
      </c>
      <c r="E177" s="1158"/>
      <c r="F177" s="1155"/>
      <c r="G177" s="1155"/>
    </row>
    <row r="178" spans="2:7">
      <c r="B178" s="1255" t="s">
        <v>1210</v>
      </c>
      <c r="C178" s="1253" t="s">
        <v>1211</v>
      </c>
      <c r="D178" s="1234" t="s">
        <v>904</v>
      </c>
      <c r="E178" s="1235"/>
      <c r="F178" s="1155"/>
      <c r="G178" s="1155"/>
    </row>
    <row r="179" spans="2:7">
      <c r="B179" s="1255" t="s">
        <v>1212</v>
      </c>
      <c r="C179" s="1253" t="s">
        <v>1213</v>
      </c>
      <c r="D179" s="1194" t="s">
        <v>1151</v>
      </c>
      <c r="E179" s="1158"/>
      <c r="F179" s="1155"/>
      <c r="G179" s="1155"/>
    </row>
    <row r="180" spans="2:7">
      <c r="B180" s="1255" t="s">
        <v>1214</v>
      </c>
      <c r="C180" s="1253" t="s">
        <v>1215</v>
      </c>
      <c r="D180" s="1194" t="s">
        <v>1151</v>
      </c>
      <c r="E180" s="1158"/>
      <c r="F180" s="1155"/>
      <c r="G180" s="1155"/>
    </row>
    <row r="181" spans="2:7">
      <c r="B181" s="1255" t="s">
        <v>1216</v>
      </c>
      <c r="C181" s="1253" t="s">
        <v>1217</v>
      </c>
      <c r="D181" s="1194" t="s">
        <v>1151</v>
      </c>
      <c r="E181" s="1158"/>
      <c r="F181" s="1155"/>
      <c r="G181" s="1155"/>
    </row>
    <row r="182" spans="2:7">
      <c r="B182" s="1255" t="s">
        <v>1218</v>
      </c>
      <c r="C182" s="1253" t="s">
        <v>1204</v>
      </c>
      <c r="D182" s="1194" t="s">
        <v>1151</v>
      </c>
      <c r="E182" s="1158"/>
      <c r="F182" s="1155"/>
      <c r="G182" s="1155"/>
    </row>
    <row r="183" spans="2:7" ht="15.75" thickBot="1">
      <c r="B183" s="1160" t="s">
        <v>1219</v>
      </c>
      <c r="C183" s="1256" t="s">
        <v>1153</v>
      </c>
      <c r="D183" s="1161" t="s">
        <v>916</v>
      </c>
      <c r="E183" s="1199"/>
      <c r="F183" s="1155"/>
      <c r="G183" s="1155"/>
    </row>
    <row r="184" spans="2:7" ht="15.75" thickBot="1">
      <c r="B184" s="1144"/>
      <c r="C184" s="1140" t="s">
        <v>1220</v>
      </c>
      <c r="D184" s="1140"/>
      <c r="E184" s="1145"/>
      <c r="F184" s="1257"/>
      <c r="G184" s="1155"/>
    </row>
    <row r="185" spans="2:7">
      <c r="B185" s="1226" t="s">
        <v>1221</v>
      </c>
      <c r="C185" s="1258" t="s">
        <v>1222</v>
      </c>
      <c r="D185" s="1259" t="s">
        <v>916</v>
      </c>
      <c r="E185" s="1260">
        <f>SUM(E186:E190)</f>
        <v>39</v>
      </c>
      <c r="F185" s="1155"/>
      <c r="G185" s="1155"/>
    </row>
    <row r="186" spans="2:7">
      <c r="B186" s="1156" t="s">
        <v>1223</v>
      </c>
      <c r="C186" s="1170" t="s">
        <v>1224</v>
      </c>
      <c r="D186" s="1261" t="s">
        <v>916</v>
      </c>
      <c r="E186" s="1167">
        <v>0</v>
      </c>
      <c r="F186" s="1202"/>
      <c r="G186" s="1202"/>
    </row>
    <row r="187" spans="2:7">
      <c r="B187" s="1156" t="s">
        <v>1225</v>
      </c>
      <c r="C187" s="1170" t="s">
        <v>1226</v>
      </c>
      <c r="D187" s="1261" t="s">
        <v>916</v>
      </c>
      <c r="E187" s="1167">
        <v>9</v>
      </c>
      <c r="F187" s="1202"/>
      <c r="G187" s="1202"/>
    </row>
    <row r="188" spans="2:7">
      <c r="B188" s="1156" t="s">
        <v>1227</v>
      </c>
      <c r="C188" s="1170" t="s">
        <v>1228</v>
      </c>
      <c r="D188" s="1261" t="s">
        <v>916</v>
      </c>
      <c r="E188" s="1167">
        <v>2</v>
      </c>
      <c r="F188" s="1202"/>
      <c r="G188" s="1202"/>
    </row>
    <row r="189" spans="2:7">
      <c r="B189" s="1156" t="s">
        <v>1229</v>
      </c>
      <c r="C189" s="1170" t="s">
        <v>1230</v>
      </c>
      <c r="D189" s="1261" t="s">
        <v>916</v>
      </c>
      <c r="E189" s="1167">
        <v>23</v>
      </c>
      <c r="F189" s="1202"/>
      <c r="G189" s="1202"/>
    </row>
    <row r="190" spans="2:7">
      <c r="B190" s="1156" t="s">
        <v>1231</v>
      </c>
      <c r="C190" s="1170" t="s">
        <v>1232</v>
      </c>
      <c r="D190" s="1261" t="s">
        <v>916</v>
      </c>
      <c r="E190" s="1197">
        <f>SUM(E191:E195)</f>
        <v>5</v>
      </c>
      <c r="F190" s="1202"/>
      <c r="G190" s="1202"/>
    </row>
    <row r="191" spans="2:7">
      <c r="B191" s="1196" t="s">
        <v>1233</v>
      </c>
      <c r="C191" s="1188" t="s">
        <v>1234</v>
      </c>
      <c r="D191" s="1234" t="s">
        <v>916</v>
      </c>
      <c r="E191" s="1198">
        <v>0</v>
      </c>
      <c r="F191" s="1202"/>
      <c r="G191" s="1202"/>
    </row>
    <row r="192" spans="2:7">
      <c r="B192" s="1196" t="s">
        <v>1235</v>
      </c>
      <c r="C192" s="1188" t="s">
        <v>1236</v>
      </c>
      <c r="D192" s="1234" t="s">
        <v>916</v>
      </c>
      <c r="E192" s="1198">
        <v>0</v>
      </c>
      <c r="F192" s="1202"/>
      <c r="G192" s="1202"/>
    </row>
    <row r="193" spans="2:7">
      <c r="B193" s="1196" t="s">
        <v>1237</v>
      </c>
      <c r="C193" s="1188" t="s">
        <v>1238</v>
      </c>
      <c r="D193" s="1234" t="s">
        <v>916</v>
      </c>
      <c r="E193" s="1198">
        <v>3</v>
      </c>
      <c r="F193" s="1202"/>
      <c r="G193" s="1202"/>
    </row>
    <row r="194" spans="2:7">
      <c r="B194" s="1196" t="s">
        <v>1239</v>
      </c>
      <c r="C194" s="1188" t="s">
        <v>1240</v>
      </c>
      <c r="D194" s="1234" t="s">
        <v>916</v>
      </c>
      <c r="E194" s="1198">
        <v>2</v>
      </c>
      <c r="F194" s="1202"/>
      <c r="G194" s="1202"/>
    </row>
    <row r="195" spans="2:7" ht="15.75" thickBot="1">
      <c r="B195" s="1262" t="s">
        <v>1241</v>
      </c>
      <c r="C195" s="1263" t="s">
        <v>1242</v>
      </c>
      <c r="D195" s="1264" t="s">
        <v>916</v>
      </c>
      <c r="E195" s="1265">
        <v>0</v>
      </c>
      <c r="F195" s="1266"/>
      <c r="G195" s="1266"/>
    </row>
    <row r="196" spans="2:7">
      <c r="B196" s="1267"/>
      <c r="C196" s="1267"/>
      <c r="D196" s="1267"/>
      <c r="E196" s="1268"/>
    </row>
    <row r="197" spans="2:7">
      <c r="B197" s="1269" t="s">
        <v>1243</v>
      </c>
      <c r="C197" s="1270" t="s">
        <v>1244</v>
      </c>
    </row>
    <row r="198" spans="2:7">
      <c r="B198" s="1271" t="s">
        <v>1245</v>
      </c>
      <c r="C198" s="1270" t="s">
        <v>1246</v>
      </c>
    </row>
    <row r="199" spans="2:7">
      <c r="C199" s="1272"/>
    </row>
    <row r="200" spans="2:7">
      <c r="B200" s="1273"/>
    </row>
    <row r="201" spans="2:7">
      <c r="B201" s="1273"/>
      <c r="C201" s="1274"/>
    </row>
  </sheetData>
  <sheetProtection password="F757" sheet="1" objects="1" scenarios="1"/>
  <mergeCells count="6">
    <mergeCell ref="B8:E8"/>
    <mergeCell ref="F39:F41"/>
    <mergeCell ref="A1:F1"/>
    <mergeCell ref="A2:F2"/>
    <mergeCell ref="A3:F3"/>
    <mergeCell ref="A5:F5"/>
  </mergeCells>
  <conditionalFormatting sqref="F38">
    <cfRule type="cellIs" dxfId="6" priority="2" stopIfTrue="1" operator="greaterThan">
      <formula>0</formula>
    </cfRule>
    <cfRule type="cellIs" dxfId="5" priority="4" stopIfTrue="1" operator="lessThan">
      <formula>0</formula>
    </cfRule>
  </conditionalFormatting>
  <conditionalFormatting sqref="F106">
    <cfRule type="expression" dxfId="4" priority="6" stopIfTrue="1">
      <formula>F107=0</formula>
    </cfRule>
    <cfRule type="expression" dxfId="3" priority="8" stopIfTrue="1">
      <formula>F107&gt;0</formula>
    </cfRule>
    <cfRule type="expression" dxfId="2" priority="10" stopIfTrue="1">
      <formula>F107&lt;0</formula>
    </cfRule>
  </conditionalFormatting>
  <conditionalFormatting sqref="F107:G107 F36:G36">
    <cfRule type="cellIs" dxfId="1" priority="11" stopIfTrue="1" operator="greaterThan">
      <formula>0</formula>
    </cfRule>
    <cfRule type="cellIs" dxfId="0" priority="12" stopIfTrue="1" operator="lessThan">
      <formula>0</formula>
    </cfRule>
  </conditionalFormatting>
  <pageMargins left="0.51181102362204722" right="0.51181102362204722" top="0.15748031496062992" bottom="0.15748031496062992" header="0.31496062992125984" footer="0.31496062992125984"/>
  <pageSetup paperSize="8" scale="95"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32"/>
  <sheetViews>
    <sheetView topLeftCell="A13" zoomScale="93" zoomScaleNormal="93" workbookViewId="0">
      <selection sqref="A1:D1"/>
    </sheetView>
  </sheetViews>
  <sheetFormatPr defaultRowHeight="15"/>
  <cols>
    <col min="1" max="1" width="9.140625" style="30"/>
    <col min="2" max="2" width="6.7109375" style="30" customWidth="1"/>
    <col min="3" max="3" width="71.28515625" style="30" customWidth="1"/>
    <col min="4" max="4" width="22.140625" style="30" customWidth="1"/>
    <col min="5" max="5" width="32" style="30" customWidth="1"/>
    <col min="6" max="6" width="9.140625" style="30"/>
    <col min="7" max="7" width="49.28515625" style="30" customWidth="1"/>
    <col min="8" max="16384" width="9.140625" style="30"/>
  </cols>
  <sheetData>
    <row r="1" spans="1:4">
      <c r="A1" s="1288" t="s">
        <v>0</v>
      </c>
      <c r="B1" s="1289"/>
      <c r="C1" s="1289"/>
      <c r="D1" s="1290"/>
    </row>
    <row r="2" spans="1:4">
      <c r="A2" s="1288" t="s">
        <v>1</v>
      </c>
      <c r="B2" s="1289"/>
      <c r="C2" s="1289"/>
      <c r="D2" s="1290"/>
    </row>
    <row r="3" spans="1:4">
      <c r="A3" s="1291"/>
      <c r="B3" s="1292"/>
      <c r="C3" s="1292"/>
      <c r="D3" s="1293"/>
    </row>
    <row r="4" spans="1:4">
      <c r="A4" s="31"/>
      <c r="B4" s="31"/>
      <c r="C4" s="31"/>
      <c r="D4" s="31"/>
    </row>
    <row r="5" spans="1:4">
      <c r="A5" s="1294" t="s">
        <v>44</v>
      </c>
      <c r="B5" s="1295"/>
      <c r="C5" s="1295"/>
      <c r="D5" s="1296"/>
    </row>
    <row r="6" spans="1:4">
      <c r="A6" s="1286" t="s">
        <v>45</v>
      </c>
      <c r="B6" s="1287"/>
      <c r="C6" s="1287"/>
      <c r="D6" s="1287"/>
    </row>
    <row r="7" spans="1:4">
      <c r="A7" s="1287"/>
      <c r="B7" s="1287"/>
      <c r="C7" s="1287"/>
      <c r="D7" s="1287"/>
    </row>
    <row r="8" spans="1:4">
      <c r="A8" s="31"/>
      <c r="B8" s="31"/>
      <c r="C8" s="31"/>
      <c r="D8" s="31"/>
    </row>
    <row r="9" spans="1:4" ht="48.75" customHeight="1" thickBot="1">
      <c r="B9" s="1285" t="s">
        <v>46</v>
      </c>
      <c r="C9" s="1285"/>
      <c r="D9" s="1285"/>
    </row>
    <row r="10" spans="1:4" ht="35.25" customHeight="1" thickBot="1">
      <c r="B10" s="32" t="s">
        <v>47</v>
      </c>
      <c r="C10" s="32" t="s">
        <v>48</v>
      </c>
      <c r="D10" s="33" t="s">
        <v>49</v>
      </c>
    </row>
    <row r="11" spans="1:4" ht="15.75" thickBot="1">
      <c r="B11" s="34"/>
      <c r="C11" s="32" t="s">
        <v>50</v>
      </c>
      <c r="D11" s="35"/>
    </row>
    <row r="12" spans="1:4">
      <c r="B12" s="36" t="s">
        <v>51</v>
      </c>
      <c r="C12" s="36" t="s">
        <v>52</v>
      </c>
      <c r="D12" s="37">
        <v>24961.599999999999</v>
      </c>
    </row>
    <row r="13" spans="1:4">
      <c r="B13" s="38" t="s">
        <v>53</v>
      </c>
      <c r="C13" s="38" t="s">
        <v>54</v>
      </c>
      <c r="D13" s="37">
        <v>486.64</v>
      </c>
    </row>
    <row r="14" spans="1:4" ht="17.25" customHeight="1">
      <c r="B14" s="38" t="s">
        <v>55</v>
      </c>
      <c r="C14" s="38" t="s">
        <v>56</v>
      </c>
      <c r="D14" s="37">
        <v>238.34</v>
      </c>
    </row>
    <row r="15" spans="1:4">
      <c r="B15" s="38" t="s">
        <v>57</v>
      </c>
      <c r="C15" s="38" t="s">
        <v>58</v>
      </c>
      <c r="D15" s="37">
        <v>219.41114999999999</v>
      </c>
    </row>
    <row r="16" spans="1:4" ht="20.25" customHeight="1" thickBot="1">
      <c r="B16" s="39" t="s">
        <v>59</v>
      </c>
      <c r="C16" s="39" t="s">
        <v>60</v>
      </c>
      <c r="D16" s="37">
        <v>8.2521599999999999</v>
      </c>
    </row>
    <row r="17" spans="2:5" ht="16.5" thickTop="1" thickBot="1">
      <c r="B17" s="40"/>
      <c r="C17" s="40" t="s">
        <v>61</v>
      </c>
      <c r="D17" s="41">
        <f>SUM(D12:D13,D16)</f>
        <v>25456.492159999998</v>
      </c>
      <c r="E17" s="42"/>
    </row>
    <row r="18" spans="2:5" ht="15.75" thickBot="1">
      <c r="B18" s="32"/>
      <c r="C18" s="32" t="s">
        <v>62</v>
      </c>
      <c r="D18" s="43"/>
    </row>
    <row r="19" spans="2:5">
      <c r="B19" s="36" t="s">
        <v>63</v>
      </c>
      <c r="C19" s="36" t="s">
        <v>64</v>
      </c>
      <c r="D19" s="37">
        <v>4139.7794299999996</v>
      </c>
    </row>
    <row r="20" spans="2:5">
      <c r="B20" s="38" t="s">
        <v>65</v>
      </c>
      <c r="C20" s="38" t="s">
        <v>66</v>
      </c>
      <c r="D20" s="37">
        <v>4347.8999999999996</v>
      </c>
    </row>
    <row r="21" spans="2:5" ht="21" customHeight="1">
      <c r="B21" s="38" t="s">
        <v>67</v>
      </c>
      <c r="C21" s="38" t="s">
        <v>68</v>
      </c>
      <c r="D21" s="37">
        <v>4347.8999999999996</v>
      </c>
    </row>
    <row r="22" spans="2:5">
      <c r="B22" s="38" t="s">
        <v>69</v>
      </c>
      <c r="C22" s="38" t="s">
        <v>70</v>
      </c>
      <c r="D22" s="37">
        <v>0</v>
      </c>
    </row>
    <row r="23" spans="2:5">
      <c r="B23" s="38" t="s">
        <v>71</v>
      </c>
      <c r="C23" s="38" t="s">
        <v>72</v>
      </c>
      <c r="D23" s="37">
        <v>0</v>
      </c>
    </row>
    <row r="24" spans="2:5">
      <c r="B24" s="38" t="s">
        <v>73</v>
      </c>
      <c r="C24" s="38" t="s">
        <v>74</v>
      </c>
      <c r="D24" s="37">
        <v>0</v>
      </c>
    </row>
    <row r="25" spans="2:5">
      <c r="B25" s="38" t="s">
        <v>75</v>
      </c>
      <c r="C25" s="38" t="s">
        <v>76</v>
      </c>
      <c r="D25" s="37">
        <v>-208.12056999999999</v>
      </c>
    </row>
    <row r="26" spans="2:5">
      <c r="B26" s="38" t="s">
        <v>77</v>
      </c>
      <c r="C26" s="38" t="s">
        <v>78</v>
      </c>
      <c r="D26" s="37">
        <v>19956.79448</v>
      </c>
    </row>
    <row r="27" spans="2:5">
      <c r="B27" s="38" t="s">
        <v>79</v>
      </c>
      <c r="C27" s="38" t="s">
        <v>80</v>
      </c>
      <c r="D27" s="37">
        <v>0</v>
      </c>
    </row>
    <row r="28" spans="2:5" ht="16.5" customHeight="1">
      <c r="B28" s="38" t="s">
        <v>81</v>
      </c>
      <c r="C28" s="38" t="s">
        <v>82</v>
      </c>
      <c r="D28" s="37">
        <v>1359.92</v>
      </c>
    </row>
    <row r="29" spans="2:5" ht="25.5" customHeight="1">
      <c r="B29" s="38" t="s">
        <v>83</v>
      </c>
      <c r="C29" s="38" t="s">
        <v>84</v>
      </c>
      <c r="D29" s="37">
        <v>12.16</v>
      </c>
    </row>
    <row r="30" spans="2:5" ht="26.25" customHeight="1">
      <c r="B30" s="38" t="s">
        <v>85</v>
      </c>
      <c r="C30" s="38" t="s">
        <v>86</v>
      </c>
      <c r="D30" s="37">
        <v>1347.76</v>
      </c>
    </row>
    <row r="31" spans="2:5" ht="27" customHeight="1" thickBot="1">
      <c r="B31" s="39" t="s">
        <v>87</v>
      </c>
      <c r="C31" s="39" t="s">
        <v>88</v>
      </c>
      <c r="D31" s="37">
        <v>0</v>
      </c>
    </row>
    <row r="32" spans="2:5" ht="21" customHeight="1" thickTop="1" thickBot="1">
      <c r="B32" s="40"/>
      <c r="C32" s="40" t="s">
        <v>89</v>
      </c>
      <c r="D32" s="41">
        <f>SUM(D19,D26:D28,D31)</f>
        <v>25456.493909999997</v>
      </c>
      <c r="E32" s="42"/>
    </row>
  </sheetData>
  <sheetProtection password="F757" sheet="1" objects="1" scenarios="1"/>
  <mergeCells count="7">
    <mergeCell ref="B9:D9"/>
    <mergeCell ref="A6:D6"/>
    <mergeCell ref="A7:D7"/>
    <mergeCell ref="A1:D1"/>
    <mergeCell ref="A2:D2"/>
    <mergeCell ref="A3:D3"/>
    <mergeCell ref="A5:D5"/>
  </mergeCells>
  <pageMargins left="0.7" right="0.7"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dimension ref="A1:L99"/>
  <sheetViews>
    <sheetView tabSelected="1" topLeftCell="A40" zoomScale="112" zoomScaleNormal="112" workbookViewId="0">
      <selection activeCell="D72" sqref="D72"/>
    </sheetView>
  </sheetViews>
  <sheetFormatPr defaultColWidth="9.140625" defaultRowHeight="15"/>
  <cols>
    <col min="1" max="2" width="9.140625" style="44"/>
    <col min="3" max="3" width="67.85546875" style="44" customWidth="1"/>
    <col min="4" max="4" width="22.5703125" style="44" customWidth="1"/>
    <col min="5" max="5" width="20.140625" style="44" customWidth="1"/>
    <col min="6" max="6" width="18.140625" style="44" customWidth="1"/>
    <col min="7" max="7" width="10.5703125" style="45" customWidth="1"/>
    <col min="8" max="8" width="32.140625" style="45" bestFit="1" customWidth="1"/>
    <col min="9" max="9" width="11.28515625" style="44" customWidth="1"/>
    <col min="10" max="16384" width="9.140625" style="44"/>
  </cols>
  <sheetData>
    <row r="1" spans="1:12">
      <c r="A1" s="1297" t="s">
        <v>0</v>
      </c>
      <c r="B1" s="1298"/>
      <c r="C1" s="1298"/>
      <c r="D1" s="1298"/>
      <c r="E1" s="1298"/>
      <c r="F1" s="1298"/>
      <c r="G1" s="1298"/>
      <c r="H1" s="1298"/>
      <c r="I1" s="1298"/>
      <c r="J1" s="1298"/>
      <c r="K1" s="1298"/>
      <c r="L1" s="1299"/>
    </row>
    <row r="2" spans="1:12">
      <c r="A2" s="1297" t="s">
        <v>1</v>
      </c>
      <c r="B2" s="1298"/>
      <c r="C2" s="1298"/>
      <c r="D2" s="1298"/>
      <c r="E2" s="1298"/>
      <c r="F2" s="1298"/>
      <c r="G2" s="1298"/>
      <c r="H2" s="1298"/>
      <c r="I2" s="1298"/>
      <c r="J2" s="1298"/>
      <c r="K2" s="1298"/>
      <c r="L2" s="1299"/>
    </row>
    <row r="3" spans="1:12">
      <c r="A3" s="1300"/>
      <c r="B3" s="1301"/>
      <c r="C3" s="1301"/>
      <c r="D3" s="1301"/>
      <c r="E3" s="1301"/>
      <c r="F3" s="1301"/>
      <c r="G3" s="1301"/>
      <c r="H3" s="1301"/>
      <c r="I3" s="1301"/>
      <c r="J3" s="1301"/>
      <c r="K3" s="1301"/>
      <c r="L3" s="1302"/>
    </row>
    <row r="4" spans="1:12">
      <c r="A4" s="46"/>
      <c r="B4" s="46"/>
      <c r="C4" s="46"/>
      <c r="D4" s="46"/>
      <c r="E4" s="46"/>
      <c r="F4" s="46"/>
      <c r="G4" s="47"/>
      <c r="H4" s="47"/>
      <c r="I4" s="46"/>
      <c r="J4" s="46"/>
      <c r="K4" s="46"/>
      <c r="L4" s="46"/>
    </row>
    <row r="5" spans="1:12">
      <c r="A5" s="1303" t="s">
        <v>90</v>
      </c>
      <c r="B5" s="1304"/>
      <c r="C5" s="1304"/>
      <c r="D5" s="1304"/>
      <c r="E5" s="1304"/>
      <c r="F5" s="1304"/>
      <c r="G5" s="1304"/>
      <c r="H5" s="1304"/>
      <c r="I5" s="1304"/>
      <c r="J5" s="1304"/>
      <c r="K5" s="1304"/>
      <c r="L5" s="1305"/>
    </row>
    <row r="6" spans="1:12">
      <c r="A6" s="46"/>
      <c r="B6" s="46"/>
      <c r="C6" s="46"/>
      <c r="D6" s="46"/>
      <c r="E6" s="46"/>
      <c r="F6" s="46"/>
      <c r="G6" s="47"/>
      <c r="H6" s="47"/>
      <c r="I6" s="46"/>
      <c r="J6" s="46"/>
      <c r="K6" s="46"/>
      <c r="L6" s="46"/>
    </row>
    <row r="8" spans="1:12" ht="19.5" customHeight="1" thickBot="1">
      <c r="B8" s="1275" t="s">
        <v>91</v>
      </c>
      <c r="C8" s="1275"/>
      <c r="D8" s="1275"/>
      <c r="E8" s="1275"/>
    </row>
    <row r="9" spans="1:12" ht="15.75" thickBot="1">
      <c r="B9" s="48" t="s">
        <v>4</v>
      </c>
      <c r="C9" s="49" t="s">
        <v>92</v>
      </c>
      <c r="D9" s="50" t="s">
        <v>49</v>
      </c>
      <c r="E9" s="51" t="s">
        <v>93</v>
      </c>
    </row>
    <row r="10" spans="1:12" ht="15.75" thickBot="1">
      <c r="B10" s="52" t="s">
        <v>7</v>
      </c>
      <c r="C10" s="53" t="s">
        <v>94</v>
      </c>
      <c r="D10" s="54"/>
      <c r="E10" s="55"/>
    </row>
    <row r="11" spans="1:12" ht="24.75" thickBot="1">
      <c r="B11" s="52" t="s">
        <v>51</v>
      </c>
      <c r="C11" s="53" t="s">
        <v>95</v>
      </c>
      <c r="D11" s="56">
        <f>D12+D15+D27+D31</f>
        <v>1401.3304400000002</v>
      </c>
      <c r="E11" s="57"/>
      <c r="I11" s="58"/>
    </row>
    <row r="12" spans="1:12">
      <c r="B12" s="59" t="s">
        <v>96</v>
      </c>
      <c r="C12" s="60" t="s">
        <v>97</v>
      </c>
      <c r="D12" s="61">
        <f>SUM(D13:D14)</f>
        <v>463.87720000000002</v>
      </c>
      <c r="E12" s="62"/>
    </row>
    <row r="13" spans="1:12">
      <c r="B13" s="63" t="s">
        <v>98</v>
      </c>
      <c r="C13" s="64" t="s">
        <v>99</v>
      </c>
      <c r="D13" s="65">
        <v>448.42</v>
      </c>
      <c r="E13" s="66"/>
    </row>
    <row r="14" spans="1:12" ht="15.75" thickBot="1">
      <c r="B14" s="67" t="s">
        <v>100</v>
      </c>
      <c r="C14" s="68" t="s">
        <v>101</v>
      </c>
      <c r="D14" s="69">
        <v>15.4572</v>
      </c>
      <c r="E14" s="70"/>
    </row>
    <row r="15" spans="1:12">
      <c r="B15" s="59" t="s">
        <v>102</v>
      </c>
      <c r="C15" s="60" t="s">
        <v>103</v>
      </c>
      <c r="D15" s="61">
        <f>D16+D19+D23</f>
        <v>704.05323999999996</v>
      </c>
      <c r="E15" s="62"/>
    </row>
    <row r="16" spans="1:12" ht="17.25" customHeight="1">
      <c r="B16" s="71" t="s">
        <v>104</v>
      </c>
      <c r="C16" s="72" t="s">
        <v>105</v>
      </c>
      <c r="D16" s="73">
        <f>IFERROR(SUM(D17:D18)+D28*(D45/D44), 0)</f>
        <v>328.2</v>
      </c>
      <c r="E16" s="66"/>
    </row>
    <row r="17" spans="2:12">
      <c r="B17" s="63" t="s">
        <v>106</v>
      </c>
      <c r="C17" s="64" t="s">
        <v>107</v>
      </c>
      <c r="D17" s="65">
        <v>328.2</v>
      </c>
      <c r="E17" s="66"/>
    </row>
    <row r="18" spans="2:12">
      <c r="B18" s="63" t="s">
        <v>108</v>
      </c>
      <c r="C18" s="64" t="s">
        <v>101</v>
      </c>
      <c r="D18" s="65">
        <v>0</v>
      </c>
      <c r="E18" s="66"/>
      <c r="L18" s="44" t="s">
        <v>109</v>
      </c>
    </row>
    <row r="19" spans="2:12">
      <c r="B19" s="71" t="s">
        <v>110</v>
      </c>
      <c r="C19" s="72" t="s">
        <v>111</v>
      </c>
      <c r="D19" s="73">
        <f>IFERROR(SUM(D20:D22)+D28*(D46/D44), 0)</f>
        <v>285.35000000000002</v>
      </c>
      <c r="E19" s="66"/>
    </row>
    <row r="20" spans="2:12">
      <c r="B20" s="63" t="s">
        <v>112</v>
      </c>
      <c r="C20" s="64" t="s">
        <v>113</v>
      </c>
      <c r="D20" s="65">
        <v>285.35000000000002</v>
      </c>
      <c r="E20" s="66"/>
    </row>
    <row r="21" spans="2:12">
      <c r="B21" s="63" t="s">
        <v>114</v>
      </c>
      <c r="C21" s="64" t="s">
        <v>115</v>
      </c>
      <c r="D21" s="65">
        <v>0</v>
      </c>
      <c r="E21" s="66"/>
    </row>
    <row r="22" spans="2:12">
      <c r="B22" s="63" t="s">
        <v>116</v>
      </c>
      <c r="C22" s="64" t="s">
        <v>101</v>
      </c>
      <c r="D22" s="65">
        <v>0</v>
      </c>
      <c r="E22" s="66"/>
    </row>
    <row r="23" spans="2:12">
      <c r="B23" s="71" t="s">
        <v>117</v>
      </c>
      <c r="C23" s="72" t="s">
        <v>118</v>
      </c>
      <c r="D23" s="73">
        <f>IFERROR(SUM(D24:D26)+D28*(D47/D44), 0)</f>
        <v>90.503240000000005</v>
      </c>
      <c r="E23" s="66"/>
    </row>
    <row r="24" spans="2:12">
      <c r="B24" s="63" t="s">
        <v>119</v>
      </c>
      <c r="C24" s="64" t="s">
        <v>120</v>
      </c>
      <c r="D24" s="65">
        <v>90.503240000000005</v>
      </c>
      <c r="E24" s="66"/>
    </row>
    <row r="25" spans="2:12">
      <c r="B25" s="63" t="s">
        <v>121</v>
      </c>
      <c r="C25" s="64" t="s">
        <v>122</v>
      </c>
      <c r="D25" s="65">
        <v>0</v>
      </c>
      <c r="E25" s="66"/>
    </row>
    <row r="26" spans="2:12" ht="15.75" thickBot="1">
      <c r="B26" s="67" t="s">
        <v>123</v>
      </c>
      <c r="C26" s="68" t="s">
        <v>101</v>
      </c>
      <c r="D26" s="69">
        <v>0</v>
      </c>
      <c r="E26" s="70"/>
    </row>
    <row r="27" spans="2:12">
      <c r="B27" s="59" t="s">
        <v>124</v>
      </c>
      <c r="C27" s="60" t="s">
        <v>125</v>
      </c>
      <c r="D27" s="74">
        <f>SUM(D29+D30)</f>
        <v>0</v>
      </c>
      <c r="E27" s="62"/>
    </row>
    <row r="28" spans="2:12">
      <c r="B28" s="63" t="s">
        <v>126</v>
      </c>
      <c r="C28" s="64" t="s">
        <v>127</v>
      </c>
      <c r="D28" s="65">
        <v>0</v>
      </c>
      <c r="E28" s="66"/>
    </row>
    <row r="29" spans="2:12" ht="24">
      <c r="B29" s="63" t="s">
        <v>128</v>
      </c>
      <c r="C29" s="64" t="s">
        <v>129</v>
      </c>
      <c r="D29" s="65">
        <v>0</v>
      </c>
      <c r="E29" s="66"/>
    </row>
    <row r="30" spans="2:12" ht="15.75" thickBot="1">
      <c r="B30" s="63" t="s">
        <v>130</v>
      </c>
      <c r="C30" s="68" t="s">
        <v>101</v>
      </c>
      <c r="D30" s="69">
        <v>0</v>
      </c>
      <c r="E30" s="70"/>
    </row>
    <row r="31" spans="2:12">
      <c r="B31" s="59" t="s">
        <v>131</v>
      </c>
      <c r="C31" s="60" t="s">
        <v>132</v>
      </c>
      <c r="D31" s="61">
        <f>SUM(D32:D33)</f>
        <v>233.4</v>
      </c>
      <c r="E31" s="62"/>
    </row>
    <row r="32" spans="2:12" ht="24">
      <c r="B32" s="63" t="s">
        <v>133</v>
      </c>
      <c r="C32" s="64" t="s">
        <v>134</v>
      </c>
      <c r="D32" s="65">
        <v>233.4</v>
      </c>
      <c r="E32" s="66"/>
    </row>
    <row r="33" spans="2:9" ht="15.75" thickBot="1">
      <c r="B33" s="67" t="s">
        <v>135</v>
      </c>
      <c r="C33" s="68" t="s">
        <v>101</v>
      </c>
      <c r="D33" s="69">
        <v>0</v>
      </c>
      <c r="E33" s="70"/>
    </row>
    <row r="34" spans="2:9">
      <c r="B34" s="59" t="s">
        <v>53</v>
      </c>
      <c r="C34" s="75" t="s">
        <v>136</v>
      </c>
      <c r="D34" s="61">
        <f>D35+D38</f>
        <v>528.12416000000007</v>
      </c>
      <c r="E34" s="62"/>
    </row>
    <row r="35" spans="2:9">
      <c r="B35" s="71" t="s">
        <v>55</v>
      </c>
      <c r="C35" s="72" t="s">
        <v>137</v>
      </c>
      <c r="D35" s="73">
        <f>SUM(D36:D37)</f>
        <v>0</v>
      </c>
      <c r="E35" s="66"/>
    </row>
    <row r="36" spans="2:9">
      <c r="B36" s="63" t="s">
        <v>138</v>
      </c>
      <c r="C36" s="64" t="s">
        <v>139</v>
      </c>
      <c r="D36" s="65">
        <v>0</v>
      </c>
      <c r="E36" s="66"/>
    </row>
    <row r="37" spans="2:9">
      <c r="B37" s="63" t="s">
        <v>140</v>
      </c>
      <c r="C37" s="64" t="s">
        <v>101</v>
      </c>
      <c r="D37" s="65">
        <v>0</v>
      </c>
      <c r="E37" s="66"/>
    </row>
    <row r="38" spans="2:9">
      <c r="B38" s="71" t="s">
        <v>141</v>
      </c>
      <c r="C38" s="72" t="s">
        <v>142</v>
      </c>
      <c r="D38" s="73">
        <f>SUM(D39:D40)</f>
        <v>528.12416000000007</v>
      </c>
      <c r="E38" s="66"/>
    </row>
    <row r="39" spans="2:9">
      <c r="B39" s="63" t="s">
        <v>143</v>
      </c>
      <c r="C39" s="64" t="s">
        <v>144</v>
      </c>
      <c r="D39" s="76">
        <v>512.66696000000002</v>
      </c>
      <c r="E39" s="66"/>
    </row>
    <row r="40" spans="2:9" ht="15.75" thickBot="1">
      <c r="B40" s="67" t="s">
        <v>145</v>
      </c>
      <c r="C40" s="68" t="s">
        <v>101</v>
      </c>
      <c r="D40" s="69">
        <v>15.4572</v>
      </c>
      <c r="E40" s="70"/>
    </row>
    <row r="41" spans="2:9" ht="15.75" thickBot="1">
      <c r="B41" s="77" t="s">
        <v>146</v>
      </c>
      <c r="C41" s="78" t="s">
        <v>147</v>
      </c>
      <c r="D41" s="79">
        <f>D42+D50</f>
        <v>2041.2897115000003</v>
      </c>
      <c r="E41" s="80" t="s">
        <v>148</v>
      </c>
      <c r="F41" s="81"/>
      <c r="I41" s="58"/>
    </row>
    <row r="42" spans="2:9" ht="24">
      <c r="B42" s="59" t="s">
        <v>59</v>
      </c>
      <c r="C42" s="75" t="s">
        <v>149</v>
      </c>
      <c r="D42" s="82">
        <f>D43+D44+D48+D49</f>
        <v>1568.3815459139555</v>
      </c>
      <c r="E42" s="62" t="s">
        <v>148</v>
      </c>
      <c r="F42" s="81"/>
      <c r="I42" s="58"/>
    </row>
    <row r="43" spans="2:9">
      <c r="B43" s="63" t="s">
        <v>150</v>
      </c>
      <c r="C43" s="83" t="s">
        <v>151</v>
      </c>
      <c r="D43" s="84">
        <f>VAS073_F_Visospaskirsto13IsViso</f>
        <v>545.41915006482532</v>
      </c>
      <c r="E43" s="66" t="s">
        <v>148</v>
      </c>
    </row>
    <row r="44" spans="2:9">
      <c r="B44" s="63" t="s">
        <v>152</v>
      </c>
      <c r="C44" s="83" t="s">
        <v>153</v>
      </c>
      <c r="D44" s="84">
        <f>VAS073_F_Visospaskirsto14IsViso</f>
        <v>773.63699387901158</v>
      </c>
      <c r="E44" s="66" t="s">
        <v>148</v>
      </c>
    </row>
    <row r="45" spans="2:9" s="1" customFormat="1">
      <c r="B45" s="85" t="s">
        <v>154</v>
      </c>
      <c r="C45" s="86" t="s">
        <v>155</v>
      </c>
      <c r="D45" s="87">
        <f>VAS073_F_Visospaskirsto141NuotekuSurinkimas</f>
        <v>394.28550496569551</v>
      </c>
      <c r="E45" s="88" t="s">
        <v>148</v>
      </c>
      <c r="G45" s="89"/>
      <c r="H45" s="89"/>
    </row>
    <row r="46" spans="2:9" s="1" customFormat="1">
      <c r="B46" s="85" t="s">
        <v>156</v>
      </c>
      <c r="C46" s="86" t="s">
        <v>157</v>
      </c>
      <c r="D46" s="87">
        <f>VAS073_F_Visospaskirsto142NuotekuValymas</f>
        <v>260.41586438753353</v>
      </c>
      <c r="E46" s="88" t="s">
        <v>148</v>
      </c>
      <c r="G46" s="89"/>
      <c r="H46" s="89"/>
    </row>
    <row r="47" spans="2:9" s="1" customFormat="1">
      <c r="B47" s="85" t="s">
        <v>158</v>
      </c>
      <c r="C47" s="86" t="s">
        <v>159</v>
      </c>
      <c r="D47" s="87">
        <f>VAS073_F_Visospaskirsto143NuotekuDumblo</f>
        <v>118.93562452578244</v>
      </c>
      <c r="E47" s="88" t="s">
        <v>148</v>
      </c>
      <c r="G47" s="89"/>
      <c r="H47" s="89"/>
    </row>
    <row r="48" spans="2:9">
      <c r="B48" s="67" t="s">
        <v>160</v>
      </c>
      <c r="C48" s="83" t="s">
        <v>161</v>
      </c>
      <c r="D48" s="84">
        <f>VAS073_F_Visospaskirsto15PavirsiniuNuoteku</f>
        <v>0</v>
      </c>
      <c r="E48" s="66" t="s">
        <v>148</v>
      </c>
    </row>
    <row r="49" spans="2:9" ht="15.75" thickBot="1">
      <c r="B49" s="67" t="s">
        <v>162</v>
      </c>
      <c r="C49" s="90" t="s">
        <v>163</v>
      </c>
      <c r="D49" s="91">
        <f>VAS073_F_Visospaskirsto12ApskaitosVeikla</f>
        <v>249.32540197011843</v>
      </c>
      <c r="E49" s="70" t="s">
        <v>148</v>
      </c>
    </row>
    <row r="50" spans="2:9">
      <c r="B50" s="59" t="s">
        <v>63</v>
      </c>
      <c r="C50" s="75" t="s">
        <v>164</v>
      </c>
      <c r="D50" s="82">
        <f>SUM(D51:D52)</f>
        <v>472.90816558604479</v>
      </c>
      <c r="E50" s="62" t="s">
        <v>148</v>
      </c>
      <c r="I50" s="58"/>
    </row>
    <row r="51" spans="2:9">
      <c r="B51" s="63" t="s">
        <v>65</v>
      </c>
      <c r="C51" s="83" t="s">
        <v>165</v>
      </c>
      <c r="D51" s="84">
        <f>VAS073_F_Visospaskirsto16KitosReguliuojamosios</f>
        <v>0</v>
      </c>
      <c r="E51" s="66" t="s">
        <v>148</v>
      </c>
      <c r="G51" s="92"/>
      <c r="H51" s="92"/>
    </row>
    <row r="52" spans="2:9" ht="15.75" thickBot="1">
      <c r="B52" s="67" t="s">
        <v>69</v>
      </c>
      <c r="C52" s="90" t="s">
        <v>166</v>
      </c>
      <c r="D52" s="91">
        <f>VAS073_F_Visospaskirsto17KitosVeiklos</f>
        <v>472.90816558604479</v>
      </c>
      <c r="E52" s="70" t="s">
        <v>148</v>
      </c>
    </row>
    <row r="53" spans="2:9">
      <c r="B53" s="59" t="s">
        <v>167</v>
      </c>
      <c r="C53" s="93" t="s">
        <v>168</v>
      </c>
      <c r="D53" s="82">
        <f>SUM(D54:D73)</f>
        <v>74.709999999999994</v>
      </c>
      <c r="E53" s="62"/>
      <c r="I53" s="58"/>
    </row>
    <row r="54" spans="2:9">
      <c r="B54" s="94" t="s">
        <v>169</v>
      </c>
      <c r="C54" s="95" t="s">
        <v>170</v>
      </c>
      <c r="D54" s="96">
        <v>36.81</v>
      </c>
      <c r="E54" s="97"/>
    </row>
    <row r="55" spans="2:9" ht="51.75">
      <c r="B55" s="98" t="s">
        <v>171</v>
      </c>
      <c r="C55" s="95" t="s">
        <v>172</v>
      </c>
      <c r="D55" s="96">
        <v>0</v>
      </c>
      <c r="E55" s="97"/>
      <c r="G55" s="92"/>
      <c r="H55" s="92"/>
    </row>
    <row r="56" spans="2:9">
      <c r="B56" s="98" t="s">
        <v>173</v>
      </c>
      <c r="C56" s="95" t="s">
        <v>174</v>
      </c>
      <c r="D56" s="96">
        <v>0</v>
      </c>
      <c r="E56" s="97"/>
    </row>
    <row r="57" spans="2:9" ht="30.75" customHeight="1">
      <c r="B57" s="98" t="s">
        <v>175</v>
      </c>
      <c r="C57" s="95" t="s">
        <v>176</v>
      </c>
      <c r="D57" s="96">
        <v>2.23</v>
      </c>
      <c r="E57" s="97"/>
    </row>
    <row r="58" spans="2:9">
      <c r="B58" s="98" t="s">
        <v>177</v>
      </c>
      <c r="C58" s="95" t="s">
        <v>178</v>
      </c>
      <c r="D58" s="96">
        <v>4.34</v>
      </c>
      <c r="E58" s="97"/>
    </row>
    <row r="59" spans="2:9" ht="26.25">
      <c r="B59" s="98" t="s">
        <v>179</v>
      </c>
      <c r="C59" s="95" t="s">
        <v>180</v>
      </c>
      <c r="D59" s="96">
        <v>0</v>
      </c>
      <c r="E59" s="97"/>
    </row>
    <row r="60" spans="2:9" ht="26.25">
      <c r="B60" s="98" t="s">
        <v>181</v>
      </c>
      <c r="C60" s="95" t="s">
        <v>182</v>
      </c>
      <c r="D60" s="96">
        <v>0</v>
      </c>
      <c r="E60" s="97"/>
    </row>
    <row r="61" spans="2:9" ht="90">
      <c r="B61" s="98" t="s">
        <v>183</v>
      </c>
      <c r="C61" s="95" t="s">
        <v>184</v>
      </c>
      <c r="D61" s="96">
        <v>1.51</v>
      </c>
      <c r="E61" s="99"/>
    </row>
    <row r="62" spans="2:9">
      <c r="B62" s="98" t="s">
        <v>185</v>
      </c>
      <c r="C62" s="95" t="s">
        <v>186</v>
      </c>
      <c r="D62" s="96">
        <v>0</v>
      </c>
      <c r="E62" s="97"/>
    </row>
    <row r="63" spans="2:9" ht="39">
      <c r="B63" s="98" t="s">
        <v>187</v>
      </c>
      <c r="C63" s="95" t="s">
        <v>188</v>
      </c>
      <c r="D63" s="96">
        <v>0</v>
      </c>
      <c r="E63" s="97"/>
      <c r="F63" s="100"/>
      <c r="G63" s="101"/>
      <c r="H63" s="92"/>
    </row>
    <row r="64" spans="2:9" ht="26.25">
      <c r="B64" s="98" t="s">
        <v>189</v>
      </c>
      <c r="C64" s="95" t="s">
        <v>190</v>
      </c>
      <c r="D64" s="96">
        <v>0</v>
      </c>
      <c r="E64" s="97"/>
    </row>
    <row r="65" spans="2:9" ht="31.5" customHeight="1">
      <c r="B65" s="98" t="s">
        <v>191</v>
      </c>
      <c r="C65" s="95" t="s">
        <v>192</v>
      </c>
      <c r="D65" s="96">
        <v>0</v>
      </c>
      <c r="E65" s="97"/>
    </row>
    <row r="66" spans="2:9" ht="26.25">
      <c r="B66" s="98" t="s">
        <v>193</v>
      </c>
      <c r="C66" s="95" t="s">
        <v>194</v>
      </c>
      <c r="D66" s="96">
        <v>0</v>
      </c>
      <c r="E66" s="97"/>
    </row>
    <row r="67" spans="2:9" ht="77.25">
      <c r="B67" s="98" t="s">
        <v>195</v>
      </c>
      <c r="C67" s="95" t="s">
        <v>196</v>
      </c>
      <c r="D67" s="96">
        <v>0</v>
      </c>
      <c r="E67" s="97"/>
    </row>
    <row r="68" spans="2:9" ht="64.5">
      <c r="B68" s="102" t="s">
        <v>197</v>
      </c>
      <c r="C68" s="95" t="s">
        <v>198</v>
      </c>
      <c r="D68" s="96">
        <v>2.68</v>
      </c>
      <c r="E68" s="103"/>
    </row>
    <row r="69" spans="2:9" ht="39">
      <c r="B69" s="102" t="s">
        <v>199</v>
      </c>
      <c r="C69" s="95" t="s">
        <v>200</v>
      </c>
      <c r="D69" s="96">
        <v>0</v>
      </c>
      <c r="E69" s="103"/>
    </row>
    <row r="70" spans="2:9" ht="51.75">
      <c r="B70" s="102" t="s">
        <v>201</v>
      </c>
      <c r="C70" s="95" t="s">
        <v>202</v>
      </c>
      <c r="D70" s="96">
        <v>0</v>
      </c>
      <c r="E70" s="103"/>
    </row>
    <row r="71" spans="2:9" ht="39">
      <c r="B71" s="102" t="s">
        <v>203</v>
      </c>
      <c r="C71" s="95" t="s">
        <v>204</v>
      </c>
      <c r="D71" s="96">
        <v>0</v>
      </c>
      <c r="E71" s="103"/>
    </row>
    <row r="72" spans="2:9">
      <c r="B72" s="102" t="s">
        <v>205</v>
      </c>
      <c r="C72" s="95" t="s">
        <v>206</v>
      </c>
      <c r="D72" s="96"/>
      <c r="E72" s="103"/>
    </row>
    <row r="73" spans="2:9" ht="27" thickBot="1">
      <c r="B73" s="104" t="s">
        <v>207</v>
      </c>
      <c r="C73" s="105" t="s">
        <v>208</v>
      </c>
      <c r="D73" s="96">
        <v>27.14</v>
      </c>
      <c r="E73" s="106"/>
    </row>
    <row r="74" spans="2:9" ht="15.75" thickBot="1">
      <c r="B74" s="77" t="s">
        <v>209</v>
      </c>
      <c r="C74" s="107" t="s">
        <v>210</v>
      </c>
      <c r="D74" s="108">
        <v>-186.53</v>
      </c>
      <c r="E74" s="80"/>
      <c r="I74" s="58"/>
    </row>
    <row r="75" spans="2:9" ht="24">
      <c r="B75" s="109" t="s">
        <v>79</v>
      </c>
      <c r="C75" s="110" t="s">
        <v>211</v>
      </c>
      <c r="D75" s="111">
        <f>D11-D42</f>
        <v>-167.05110591395533</v>
      </c>
      <c r="E75" s="112"/>
      <c r="I75" s="58"/>
    </row>
    <row r="76" spans="2:9">
      <c r="B76" s="63" t="s">
        <v>212</v>
      </c>
      <c r="C76" s="83" t="s">
        <v>213</v>
      </c>
      <c r="D76" s="84">
        <f>D12-D43</f>
        <v>-81.541950064825301</v>
      </c>
      <c r="E76" s="66"/>
    </row>
    <row r="77" spans="2:9">
      <c r="B77" s="63" t="s">
        <v>214</v>
      </c>
      <c r="C77" s="83" t="s">
        <v>215</v>
      </c>
      <c r="D77" s="84">
        <f>D15-D44</f>
        <v>-69.583753879011624</v>
      </c>
      <c r="E77" s="66"/>
    </row>
    <row r="78" spans="2:9">
      <c r="B78" s="63" t="s">
        <v>216</v>
      </c>
      <c r="C78" s="83" t="s">
        <v>217</v>
      </c>
      <c r="D78" s="84">
        <f>D16-D45</f>
        <v>-66.08550496569552</v>
      </c>
      <c r="E78" s="66"/>
    </row>
    <row r="79" spans="2:9">
      <c r="B79" s="63" t="s">
        <v>218</v>
      </c>
      <c r="C79" s="83" t="s">
        <v>219</v>
      </c>
      <c r="D79" s="84">
        <f>D19-D46</f>
        <v>24.934135612466491</v>
      </c>
      <c r="E79" s="66"/>
    </row>
    <row r="80" spans="2:9">
      <c r="B80" s="63" t="s">
        <v>220</v>
      </c>
      <c r="C80" s="83" t="s">
        <v>221</v>
      </c>
      <c r="D80" s="84">
        <f>D23-D47</f>
        <v>-28.432384525782439</v>
      </c>
      <c r="E80" s="66"/>
    </row>
    <row r="81" spans="2:9" ht="24">
      <c r="B81" s="67" t="s">
        <v>222</v>
      </c>
      <c r="C81" s="83" t="s">
        <v>223</v>
      </c>
      <c r="D81" s="84">
        <f>D27-D48</f>
        <v>0</v>
      </c>
      <c r="E81" s="66"/>
    </row>
    <row r="82" spans="2:9" ht="15.75" thickBot="1">
      <c r="B82" s="67" t="s">
        <v>224</v>
      </c>
      <c r="C82" s="90" t="s">
        <v>225</v>
      </c>
      <c r="D82" s="84">
        <f>D31-D49</f>
        <v>-15.925401970118429</v>
      </c>
      <c r="E82" s="70"/>
    </row>
    <row r="83" spans="2:9">
      <c r="B83" s="59" t="s">
        <v>81</v>
      </c>
      <c r="C83" s="75" t="s">
        <v>226</v>
      </c>
      <c r="D83" s="82">
        <f>D34-D50</f>
        <v>55.215994413955286</v>
      </c>
      <c r="E83" s="62"/>
      <c r="I83" s="58"/>
    </row>
    <row r="84" spans="2:9">
      <c r="B84" s="63" t="s">
        <v>83</v>
      </c>
      <c r="C84" s="83" t="s">
        <v>227</v>
      </c>
      <c r="D84" s="84">
        <f>D35-D51</f>
        <v>0</v>
      </c>
      <c r="E84" s="66"/>
    </row>
    <row r="85" spans="2:9">
      <c r="B85" s="67" t="s">
        <v>85</v>
      </c>
      <c r="C85" s="90" t="s">
        <v>228</v>
      </c>
      <c r="D85" s="91">
        <f>IFERROR(D38-D52,"-")</f>
        <v>55.215994413955286</v>
      </c>
      <c r="E85" s="70"/>
    </row>
    <row r="86" spans="2:9" ht="15.75" thickBot="1">
      <c r="B86" s="113" t="s">
        <v>87</v>
      </c>
      <c r="C86" s="114" t="s">
        <v>229</v>
      </c>
      <c r="D86" s="115"/>
      <c r="E86" s="70"/>
    </row>
    <row r="87" spans="2:9" ht="15.75" thickBot="1">
      <c r="B87" s="77" t="s">
        <v>230</v>
      </c>
      <c r="C87" s="78" t="s">
        <v>231</v>
      </c>
      <c r="D87" s="116"/>
      <c r="E87" s="80"/>
      <c r="I87" s="58"/>
    </row>
    <row r="88" spans="2:9" ht="15.75" thickBot="1">
      <c r="B88" s="77" t="s">
        <v>232</v>
      </c>
      <c r="C88" s="78" t="s">
        <v>233</v>
      </c>
      <c r="D88" s="79">
        <f>IFERROR(D74+D86-D87,"0")</f>
        <v>-186.53</v>
      </c>
      <c r="E88" s="80"/>
      <c r="I88" s="58"/>
    </row>
    <row r="89" spans="2:9" ht="24">
      <c r="B89" s="109" t="s">
        <v>234</v>
      </c>
      <c r="C89" s="110" t="s">
        <v>235</v>
      </c>
      <c r="D89" s="111">
        <f>IFERROR((D75/D11)*100,"0")</f>
        <v>-11.92089325583731</v>
      </c>
      <c r="E89" s="112"/>
    </row>
    <row r="90" spans="2:9">
      <c r="B90" s="63" t="s">
        <v>236</v>
      </c>
      <c r="C90" s="83" t="s">
        <v>237</v>
      </c>
      <c r="D90" s="84">
        <f>IFERROR((D76/D12)*100,"0")</f>
        <v>-17.5783483354701</v>
      </c>
      <c r="E90" s="66"/>
    </row>
    <row r="91" spans="2:9">
      <c r="B91" s="63" t="s">
        <v>238</v>
      </c>
      <c r="C91" s="83" t="s">
        <v>239</v>
      </c>
      <c r="D91" s="84">
        <f>IFERROR((D77/D15)*100,"0")</f>
        <v>-9.8833085235161509</v>
      </c>
      <c r="E91" s="66"/>
    </row>
    <row r="92" spans="2:9" ht="24">
      <c r="B92" s="63" t="s">
        <v>240</v>
      </c>
      <c r="C92" s="83" t="s">
        <v>241</v>
      </c>
      <c r="D92" s="84">
        <f>IFERROR((D78/D16)*100,"0")</f>
        <v>-20.135741915202779</v>
      </c>
      <c r="E92" s="66"/>
    </row>
    <row r="93" spans="2:9">
      <c r="B93" s="63" t="s">
        <v>242</v>
      </c>
      <c r="C93" s="83" t="s">
        <v>243</v>
      </c>
      <c r="D93" s="84">
        <f>IFERROR((D79/D19)*100,"0")</f>
        <v>8.7380885272354956</v>
      </c>
      <c r="E93" s="66"/>
    </row>
    <row r="94" spans="2:9">
      <c r="B94" s="63" t="s">
        <v>244</v>
      </c>
      <c r="C94" s="83" t="s">
        <v>245</v>
      </c>
      <c r="D94" s="84">
        <f>IFERROR((D80/D23)*100,"0")</f>
        <v>-31.415874752972861</v>
      </c>
      <c r="E94" s="66"/>
    </row>
    <row r="95" spans="2:9" ht="24">
      <c r="B95" s="67" t="s">
        <v>246</v>
      </c>
      <c r="C95" s="83" t="s">
        <v>247</v>
      </c>
      <c r="D95" s="84" t="str">
        <f>IFERROR((D81/D27)*100,"0")</f>
        <v>0</v>
      </c>
      <c r="E95" s="66"/>
    </row>
    <row r="96" spans="2:9" ht="15.75" thickBot="1">
      <c r="B96" s="117" t="s">
        <v>248</v>
      </c>
      <c r="C96" s="118" t="s">
        <v>249</v>
      </c>
      <c r="D96" s="119">
        <f>IFERROR((D82/D31)*100,"0")</f>
        <v>-6.823222780684846</v>
      </c>
      <c r="E96" s="120"/>
    </row>
    <row r="98" spans="3:3">
      <c r="C98" s="89" t="s">
        <v>250</v>
      </c>
    </row>
    <row r="99" spans="3:3">
      <c r="C99" s="89" t="s">
        <v>251</v>
      </c>
    </row>
  </sheetData>
  <sheetProtection password="F757" sheet="1" objects="1" scenarios="1"/>
  <mergeCells count="5">
    <mergeCell ref="B8:E8"/>
    <mergeCell ref="A1:L1"/>
    <mergeCell ref="A2:L2"/>
    <mergeCell ref="A3:L3"/>
    <mergeCell ref="A5:L5"/>
  </mergeCells>
  <pageMargins left="0.70866141732283472" right="0.70866141732283472" top="0.74803149606299213" bottom="0.74803149606299213" header="0.31496062992125984" footer="0.31496062992125984"/>
  <pageSetup paperSize="8" scale="95" orientation="portrait" r:id="rId1"/>
</worksheet>
</file>

<file path=xl/worksheets/sheet4.xml><?xml version="1.0" encoding="utf-8"?>
<worksheet xmlns="http://schemas.openxmlformats.org/spreadsheetml/2006/main" xmlns:r="http://schemas.openxmlformats.org/officeDocument/2006/relationships">
  <dimension ref="A1:U241"/>
  <sheetViews>
    <sheetView topLeftCell="F172" zoomScale="80" zoomScaleNormal="80" workbookViewId="0">
      <selection activeCell="P156" sqref="P156"/>
    </sheetView>
  </sheetViews>
  <sheetFormatPr defaultColWidth="9.140625" defaultRowHeight="15"/>
  <cols>
    <col min="1" max="1" width="9.140625" style="5"/>
    <col min="2" max="2" width="10.7109375" style="5" customWidth="1"/>
    <col min="3" max="3" width="71.140625" style="5" customWidth="1"/>
    <col min="4" max="4" width="13.5703125" style="5" customWidth="1"/>
    <col min="5" max="5" width="14" style="5" customWidth="1"/>
    <col min="6" max="6" width="13.42578125" style="5" customWidth="1"/>
    <col min="7" max="7" width="16.85546875" style="5" customWidth="1"/>
    <col min="8" max="8" width="16.140625" style="5" customWidth="1"/>
    <col min="9" max="9" width="15.7109375" style="5" customWidth="1"/>
    <col min="10" max="10" width="14" style="5" customWidth="1"/>
    <col min="11" max="12" width="14.5703125" style="5" customWidth="1"/>
    <col min="13" max="13" width="16.5703125" style="5" customWidth="1"/>
    <col min="14" max="14" width="15" style="5" customWidth="1"/>
    <col min="15" max="15" width="17.85546875" style="5" customWidth="1"/>
    <col min="16" max="16" width="23.28515625" style="5" customWidth="1"/>
    <col min="17" max="17" width="12.42578125" style="121" customWidth="1"/>
    <col min="18" max="18" width="5.42578125" style="121" customWidth="1"/>
    <col min="19" max="19" width="9.140625" style="5"/>
    <col min="20" max="20" width="12.7109375" style="5" bestFit="1" customWidth="1"/>
    <col min="21" max="16384" width="9.140625" style="5"/>
  </cols>
  <sheetData>
    <row r="1" spans="1:18">
      <c r="A1" s="1276" t="s">
        <v>0</v>
      </c>
      <c r="B1" s="1277"/>
      <c r="C1" s="1277"/>
      <c r="D1" s="1277"/>
      <c r="E1" s="1277"/>
      <c r="F1" s="1277"/>
      <c r="G1" s="1277"/>
      <c r="H1" s="1277"/>
      <c r="I1" s="1277"/>
      <c r="J1" s="1277"/>
      <c r="K1" s="1277"/>
      <c r="L1" s="1277"/>
      <c r="M1" s="1277"/>
      <c r="N1" s="1277"/>
      <c r="O1" s="1277"/>
      <c r="P1" s="1277"/>
      <c r="Q1" s="1278"/>
    </row>
    <row r="2" spans="1:18">
      <c r="A2" s="1276" t="s">
        <v>1</v>
      </c>
      <c r="B2" s="1277"/>
      <c r="C2" s="1277"/>
      <c r="D2" s="1277"/>
      <c r="E2" s="1277"/>
      <c r="F2" s="1277"/>
      <c r="G2" s="1277"/>
      <c r="H2" s="1277"/>
      <c r="I2" s="1277"/>
      <c r="J2" s="1277"/>
      <c r="K2" s="1277"/>
      <c r="L2" s="1277"/>
      <c r="M2" s="1277"/>
      <c r="N2" s="1277"/>
      <c r="O2" s="1277"/>
      <c r="P2" s="1277"/>
      <c r="Q2" s="1278"/>
    </row>
    <row r="3" spans="1:18">
      <c r="A3" s="1279"/>
      <c r="B3" s="1280"/>
      <c r="C3" s="1280"/>
      <c r="D3" s="1280"/>
      <c r="E3" s="1280"/>
      <c r="F3" s="1280"/>
      <c r="G3" s="1280"/>
      <c r="H3" s="1280"/>
      <c r="I3" s="1280"/>
      <c r="J3" s="1280"/>
      <c r="K3" s="1280"/>
      <c r="L3" s="1280"/>
      <c r="M3" s="1280"/>
      <c r="N3" s="1280"/>
      <c r="O3" s="1280"/>
      <c r="P3" s="1280"/>
      <c r="Q3" s="1281"/>
    </row>
    <row r="4" spans="1:18">
      <c r="A4" s="6"/>
      <c r="B4" s="6"/>
      <c r="C4" s="6"/>
      <c r="D4" s="6"/>
      <c r="E4" s="6"/>
      <c r="F4" s="6"/>
      <c r="G4" s="6"/>
      <c r="H4" s="6"/>
      <c r="I4" s="6"/>
      <c r="J4" s="6"/>
      <c r="K4" s="6"/>
      <c r="L4" s="6"/>
      <c r="M4" s="6"/>
      <c r="N4" s="6"/>
      <c r="O4" s="6"/>
      <c r="P4" s="6"/>
      <c r="Q4" s="122"/>
    </row>
    <row r="5" spans="1:18">
      <c r="A5" s="1282" t="s">
        <v>252</v>
      </c>
      <c r="B5" s="1283"/>
      <c r="C5" s="1283"/>
      <c r="D5" s="1283"/>
      <c r="E5" s="1283"/>
      <c r="F5" s="1283"/>
      <c r="G5" s="1283"/>
      <c r="H5" s="1283"/>
      <c r="I5" s="1283"/>
      <c r="J5" s="1283"/>
      <c r="K5" s="1283"/>
      <c r="L5" s="1283"/>
      <c r="M5" s="1283"/>
      <c r="N5" s="1283"/>
      <c r="O5" s="1283"/>
      <c r="P5" s="1283"/>
      <c r="Q5" s="1284"/>
    </row>
    <row r="6" spans="1:18">
      <c r="A6" s="6"/>
      <c r="B6" s="6"/>
      <c r="C6" s="6"/>
      <c r="D6" s="6"/>
      <c r="E6" s="6"/>
      <c r="F6" s="6"/>
      <c r="G6" s="6"/>
      <c r="H6" s="6"/>
      <c r="I6" s="6"/>
      <c r="J6" s="6"/>
      <c r="K6" s="6"/>
      <c r="L6" s="6"/>
      <c r="M6" s="6"/>
      <c r="N6" s="6"/>
      <c r="O6" s="6"/>
      <c r="P6" s="6"/>
      <c r="Q6" s="122"/>
    </row>
    <row r="8" spans="1:18" ht="15.75" thickBot="1">
      <c r="B8" s="1275" t="s">
        <v>253</v>
      </c>
      <c r="C8" s="1275"/>
      <c r="D8" s="1275"/>
      <c r="E8" s="1275"/>
      <c r="F8" s="1275"/>
      <c r="G8" s="1275"/>
      <c r="H8" s="1275"/>
      <c r="I8" s="1275"/>
      <c r="J8" s="1275"/>
      <c r="K8" s="1275"/>
      <c r="L8" s="1275"/>
      <c r="M8" s="1275"/>
      <c r="N8" s="1275"/>
      <c r="O8" s="1275"/>
      <c r="P8" s="1275"/>
    </row>
    <row r="9" spans="1:18" ht="124.5" customHeight="1" thickBot="1">
      <c r="B9" s="123" t="s">
        <v>4</v>
      </c>
      <c r="C9" s="124" t="s">
        <v>254</v>
      </c>
      <c r="D9" s="124" t="s">
        <v>255</v>
      </c>
      <c r="E9" s="125" t="s">
        <v>256</v>
      </c>
      <c r="F9" s="126" t="s">
        <v>257</v>
      </c>
      <c r="G9" s="127" t="s">
        <v>258</v>
      </c>
      <c r="H9" s="128" t="s">
        <v>259</v>
      </c>
      <c r="I9" s="129" t="s">
        <v>260</v>
      </c>
      <c r="J9" s="130" t="s">
        <v>261</v>
      </c>
      <c r="K9" s="127" t="s">
        <v>262</v>
      </c>
      <c r="L9" s="128" t="s">
        <v>263</v>
      </c>
      <c r="M9" s="131" t="s">
        <v>264</v>
      </c>
      <c r="N9" s="132" t="s">
        <v>265</v>
      </c>
      <c r="O9" s="125" t="s">
        <v>266</v>
      </c>
      <c r="P9" s="126" t="s">
        <v>267</v>
      </c>
    </row>
    <row r="10" spans="1:18" ht="28.5" customHeight="1" thickTop="1" thickBot="1">
      <c r="B10" s="133" t="s">
        <v>51</v>
      </c>
      <c r="C10" s="134" t="s">
        <v>268</v>
      </c>
      <c r="D10" s="135"/>
      <c r="E10" s="136"/>
      <c r="F10" s="137"/>
      <c r="G10" s="138"/>
      <c r="H10" s="139"/>
      <c r="I10" s="140"/>
      <c r="J10" s="137"/>
      <c r="K10" s="138"/>
      <c r="L10" s="139"/>
      <c r="M10" s="139"/>
      <c r="N10" s="135"/>
      <c r="O10" s="136"/>
      <c r="P10" s="137"/>
    </row>
    <row r="11" spans="1:18" ht="16.5" thickTop="1" thickBot="1">
      <c r="B11" s="141" t="s">
        <v>96</v>
      </c>
      <c r="C11" s="142" t="s">
        <v>269</v>
      </c>
      <c r="D11" s="143">
        <f t="shared" ref="D11:P11" si="0">D30</f>
        <v>0</v>
      </c>
      <c r="E11" s="144">
        <f t="shared" si="0"/>
        <v>0</v>
      </c>
      <c r="F11" s="145">
        <f t="shared" si="0"/>
        <v>0</v>
      </c>
      <c r="G11" s="146">
        <f t="shared" si="0"/>
        <v>0</v>
      </c>
      <c r="H11" s="147">
        <f t="shared" si="0"/>
        <v>0</v>
      </c>
      <c r="I11" s="148">
        <f t="shared" si="0"/>
        <v>0</v>
      </c>
      <c r="J11" s="145">
        <f t="shared" si="0"/>
        <v>0</v>
      </c>
      <c r="K11" s="146">
        <f t="shared" si="0"/>
        <v>0</v>
      </c>
      <c r="L11" s="147">
        <f t="shared" si="0"/>
        <v>0</v>
      </c>
      <c r="M11" s="147">
        <f t="shared" si="0"/>
        <v>0</v>
      </c>
      <c r="N11" s="143">
        <f t="shared" si="0"/>
        <v>0</v>
      </c>
      <c r="O11" s="144">
        <f t="shared" si="0"/>
        <v>0</v>
      </c>
      <c r="P11" s="145">
        <f t="shared" si="0"/>
        <v>0</v>
      </c>
    </row>
    <row r="12" spans="1:18" ht="15.75" thickBot="1">
      <c r="B12" s="149" t="s">
        <v>102</v>
      </c>
      <c r="C12" s="150" t="s">
        <v>270</v>
      </c>
      <c r="D12" s="151">
        <f t="shared" ref="D12:P12" si="1">D31</f>
        <v>0</v>
      </c>
      <c r="E12" s="152">
        <f t="shared" si="1"/>
        <v>0</v>
      </c>
      <c r="F12" s="153">
        <f t="shared" si="1"/>
        <v>0</v>
      </c>
      <c r="G12" s="154">
        <f t="shared" si="1"/>
        <v>0</v>
      </c>
      <c r="H12" s="155">
        <f t="shared" si="1"/>
        <v>0</v>
      </c>
      <c r="I12" s="156">
        <f t="shared" si="1"/>
        <v>0</v>
      </c>
      <c r="J12" s="153">
        <f t="shared" si="1"/>
        <v>0</v>
      </c>
      <c r="K12" s="154">
        <f t="shared" si="1"/>
        <v>0</v>
      </c>
      <c r="L12" s="155">
        <f t="shared" si="1"/>
        <v>0</v>
      </c>
      <c r="M12" s="155">
        <f t="shared" si="1"/>
        <v>0</v>
      </c>
      <c r="N12" s="151">
        <f t="shared" si="1"/>
        <v>0</v>
      </c>
      <c r="O12" s="152">
        <f t="shared" si="1"/>
        <v>0</v>
      </c>
      <c r="P12" s="153">
        <f t="shared" si="1"/>
        <v>0</v>
      </c>
    </row>
    <row r="13" spans="1:18">
      <c r="B13" s="149" t="s">
        <v>124</v>
      </c>
      <c r="C13" s="150" t="s">
        <v>271</v>
      </c>
      <c r="D13" s="151">
        <f t="shared" ref="D13:P13" si="2">D34+D91</f>
        <v>200.92000000000002</v>
      </c>
      <c r="E13" s="152">
        <f t="shared" si="2"/>
        <v>7.8675999999999996E-2</v>
      </c>
      <c r="F13" s="153">
        <f t="shared" si="2"/>
        <v>78.733942999999996</v>
      </c>
      <c r="G13" s="154">
        <f t="shared" si="2"/>
        <v>46.0505025</v>
      </c>
      <c r="H13" s="155">
        <f t="shared" si="2"/>
        <v>1.4231524999999998</v>
      </c>
      <c r="I13" s="156">
        <f t="shared" si="2"/>
        <v>31.260287999999999</v>
      </c>
      <c r="J13" s="153">
        <f t="shared" si="2"/>
        <v>109.84552450000001</v>
      </c>
      <c r="K13" s="154">
        <f t="shared" si="2"/>
        <v>41.532833500000002</v>
      </c>
      <c r="L13" s="155">
        <f t="shared" si="2"/>
        <v>68.270629500000013</v>
      </c>
      <c r="M13" s="155">
        <f t="shared" si="2"/>
        <v>4.2061500000000002E-2</v>
      </c>
      <c r="N13" s="151">
        <f t="shared" si="2"/>
        <v>0</v>
      </c>
      <c r="O13" s="152">
        <f t="shared" si="2"/>
        <v>0</v>
      </c>
      <c r="P13" s="153">
        <f t="shared" si="2"/>
        <v>12.2618565</v>
      </c>
    </row>
    <row r="14" spans="1:18" s="2" customFormat="1" ht="35.25" customHeight="1" thickBot="1">
      <c r="B14" s="157" t="s">
        <v>126</v>
      </c>
      <c r="C14" s="158" t="s">
        <v>272</v>
      </c>
      <c r="D14" s="159">
        <f t="shared" ref="D14:P14" si="3">D35+D92</f>
        <v>178.75</v>
      </c>
      <c r="E14" s="160">
        <f t="shared" si="3"/>
        <v>0</v>
      </c>
      <c r="F14" s="161">
        <f t="shared" si="3"/>
        <v>78.569999999999993</v>
      </c>
      <c r="G14" s="162">
        <f t="shared" si="3"/>
        <v>45.97</v>
      </c>
      <c r="H14" s="163">
        <f t="shared" si="3"/>
        <v>1.42</v>
      </c>
      <c r="I14" s="164">
        <f t="shared" si="3"/>
        <v>31.18</v>
      </c>
      <c r="J14" s="161">
        <f t="shared" si="3"/>
        <v>100.18</v>
      </c>
      <c r="K14" s="162">
        <f t="shared" si="3"/>
        <v>38.68</v>
      </c>
      <c r="L14" s="163">
        <f t="shared" si="3"/>
        <v>61.5</v>
      </c>
      <c r="M14" s="163">
        <f t="shared" si="3"/>
        <v>0</v>
      </c>
      <c r="N14" s="159">
        <f t="shared" si="3"/>
        <v>0</v>
      </c>
      <c r="O14" s="160">
        <f t="shared" si="3"/>
        <v>0</v>
      </c>
      <c r="P14" s="161">
        <f t="shared" si="3"/>
        <v>0</v>
      </c>
      <c r="Q14" s="165"/>
      <c r="R14" s="165"/>
    </row>
    <row r="15" spans="1:18" ht="15.75" thickBot="1">
      <c r="B15" s="149" t="s">
        <v>131</v>
      </c>
      <c r="C15" s="150" t="s">
        <v>273</v>
      </c>
      <c r="D15" s="151">
        <f t="shared" ref="D15:P15" si="4">D37</f>
        <v>17.149999999999999</v>
      </c>
      <c r="E15" s="152">
        <f t="shared" si="4"/>
        <v>0</v>
      </c>
      <c r="F15" s="153">
        <f t="shared" si="4"/>
        <v>0.43</v>
      </c>
      <c r="G15" s="154">
        <f t="shared" si="4"/>
        <v>0</v>
      </c>
      <c r="H15" s="155">
        <f t="shared" si="4"/>
        <v>0.43</v>
      </c>
      <c r="I15" s="156">
        <f t="shared" si="4"/>
        <v>0</v>
      </c>
      <c r="J15" s="153">
        <f t="shared" si="4"/>
        <v>16.72</v>
      </c>
      <c r="K15" s="154">
        <f t="shared" si="4"/>
        <v>0</v>
      </c>
      <c r="L15" s="155">
        <f t="shared" si="4"/>
        <v>0.36</v>
      </c>
      <c r="M15" s="155">
        <f t="shared" si="4"/>
        <v>16.36</v>
      </c>
      <c r="N15" s="151">
        <f t="shared" si="4"/>
        <v>0</v>
      </c>
      <c r="O15" s="152">
        <f t="shared" si="4"/>
        <v>0</v>
      </c>
      <c r="P15" s="153">
        <f t="shared" si="4"/>
        <v>0</v>
      </c>
    </row>
    <row r="16" spans="1:18">
      <c r="B16" s="149" t="s">
        <v>274</v>
      </c>
      <c r="C16" s="150" t="s">
        <v>275</v>
      </c>
      <c r="D16" s="151">
        <f t="shared" ref="D16:P16" si="5">D45+D99+D194</f>
        <v>155.92000000000002</v>
      </c>
      <c r="E16" s="152">
        <f t="shared" si="5"/>
        <v>6.4373774051986734</v>
      </c>
      <c r="F16" s="153">
        <f t="shared" si="5"/>
        <v>35.157069322287605</v>
      </c>
      <c r="G16" s="154">
        <f t="shared" si="5"/>
        <v>6.0087057562354946</v>
      </c>
      <c r="H16" s="155">
        <f t="shared" si="5"/>
        <v>0.12726558647007133</v>
      </c>
      <c r="I16" s="156">
        <f t="shared" si="5"/>
        <v>29.021097979582038</v>
      </c>
      <c r="J16" s="153">
        <f t="shared" si="5"/>
        <v>47.431834836460723</v>
      </c>
      <c r="K16" s="154">
        <f t="shared" si="5"/>
        <v>19.464831804983991</v>
      </c>
      <c r="L16" s="155">
        <f t="shared" si="5"/>
        <v>15.498600701288671</v>
      </c>
      <c r="M16" s="155">
        <f t="shared" si="5"/>
        <v>12.468402330188058</v>
      </c>
      <c r="N16" s="151">
        <f t="shared" si="5"/>
        <v>0</v>
      </c>
      <c r="O16" s="152">
        <f t="shared" si="5"/>
        <v>0</v>
      </c>
      <c r="P16" s="153">
        <f t="shared" si="5"/>
        <v>66.893718436052993</v>
      </c>
    </row>
    <row r="17" spans="1:21" s="2" customFormat="1">
      <c r="B17" s="166" t="s">
        <v>276</v>
      </c>
      <c r="C17" s="167" t="s">
        <v>277</v>
      </c>
      <c r="D17" s="168">
        <f t="shared" ref="D17:P17" si="6">D46+D100+D195</f>
        <v>90.16</v>
      </c>
      <c r="E17" s="169">
        <f t="shared" si="6"/>
        <v>3.3694790051986736</v>
      </c>
      <c r="F17" s="170">
        <f t="shared" si="6"/>
        <v>21.007463122287604</v>
      </c>
      <c r="G17" s="171">
        <f t="shared" si="6"/>
        <v>1.9264972562354938</v>
      </c>
      <c r="H17" s="172">
        <f t="shared" si="6"/>
        <v>6.8047086470071336E-2</v>
      </c>
      <c r="I17" s="173">
        <f t="shared" si="6"/>
        <v>19.012918779582037</v>
      </c>
      <c r="J17" s="170">
        <f t="shared" si="6"/>
        <v>17.299751536460722</v>
      </c>
      <c r="K17" s="171">
        <f t="shared" si="6"/>
        <v>8.5152979049839921</v>
      </c>
      <c r="L17" s="172">
        <f t="shared" si="6"/>
        <v>5.4561604012886713</v>
      </c>
      <c r="M17" s="172">
        <f t="shared" si="6"/>
        <v>3.3282932301880574</v>
      </c>
      <c r="N17" s="168">
        <f t="shared" si="6"/>
        <v>0</v>
      </c>
      <c r="O17" s="169">
        <f t="shared" si="6"/>
        <v>0</v>
      </c>
      <c r="P17" s="170">
        <f t="shared" si="6"/>
        <v>48.483306336052998</v>
      </c>
      <c r="Q17" s="165"/>
      <c r="R17" s="165"/>
    </row>
    <row r="18" spans="1:21" s="2" customFormat="1">
      <c r="B18" s="166" t="s">
        <v>278</v>
      </c>
      <c r="C18" s="167" t="s">
        <v>279</v>
      </c>
      <c r="D18" s="168">
        <f t="shared" ref="D18:P18" si="7">D49+D103+D198</f>
        <v>0</v>
      </c>
      <c r="E18" s="169">
        <f t="shared" si="7"/>
        <v>0</v>
      </c>
      <c r="F18" s="170">
        <f t="shared" si="7"/>
        <v>0</v>
      </c>
      <c r="G18" s="171">
        <f t="shared" si="7"/>
        <v>0</v>
      </c>
      <c r="H18" s="172">
        <f t="shared" si="7"/>
        <v>0</v>
      </c>
      <c r="I18" s="173">
        <f t="shared" si="7"/>
        <v>0</v>
      </c>
      <c r="J18" s="170">
        <f t="shared" si="7"/>
        <v>0</v>
      </c>
      <c r="K18" s="171">
        <f t="shared" si="7"/>
        <v>0</v>
      </c>
      <c r="L18" s="172">
        <f t="shared" si="7"/>
        <v>0</v>
      </c>
      <c r="M18" s="172">
        <f t="shared" si="7"/>
        <v>0</v>
      </c>
      <c r="N18" s="168">
        <f t="shared" si="7"/>
        <v>0</v>
      </c>
      <c r="O18" s="169">
        <f t="shared" si="7"/>
        <v>0</v>
      </c>
      <c r="P18" s="170">
        <f t="shared" si="7"/>
        <v>0</v>
      </c>
      <c r="Q18" s="165"/>
      <c r="R18" s="165"/>
    </row>
    <row r="19" spans="1:21" s="2" customFormat="1" ht="15.75" thickBot="1">
      <c r="B19" s="174" t="s">
        <v>280</v>
      </c>
      <c r="C19" s="175" t="s">
        <v>281</v>
      </c>
      <c r="D19" s="176">
        <f t="shared" ref="D19:P19" si="8">D47+D101+D196</f>
        <v>65.510000000000005</v>
      </c>
      <c r="E19" s="177">
        <f t="shared" si="8"/>
        <v>2.8178983999999998</v>
      </c>
      <c r="F19" s="178">
        <f t="shared" si="8"/>
        <v>14.149606200000001</v>
      </c>
      <c r="G19" s="179">
        <f t="shared" si="8"/>
        <v>4.0822085000000001</v>
      </c>
      <c r="H19" s="180">
        <f t="shared" si="8"/>
        <v>5.92185E-2</v>
      </c>
      <c r="I19" s="181">
        <f t="shared" si="8"/>
        <v>10.008179200000001</v>
      </c>
      <c r="J19" s="178">
        <f t="shared" si="8"/>
        <v>30.132083300000005</v>
      </c>
      <c r="K19" s="179">
        <f t="shared" si="8"/>
        <v>10.9495339</v>
      </c>
      <c r="L19" s="180">
        <f t="shared" si="8"/>
        <v>10.042440299999999</v>
      </c>
      <c r="M19" s="180">
        <f t="shared" si="8"/>
        <v>9.1401091000000001</v>
      </c>
      <c r="N19" s="176">
        <f t="shared" si="8"/>
        <v>0</v>
      </c>
      <c r="O19" s="177">
        <f t="shared" si="8"/>
        <v>0</v>
      </c>
      <c r="P19" s="178">
        <f t="shared" si="8"/>
        <v>18.410412099999999</v>
      </c>
      <c r="Q19" s="165"/>
      <c r="R19" s="165"/>
    </row>
    <row r="20" spans="1:21">
      <c r="B20" s="149" t="s">
        <v>282</v>
      </c>
      <c r="C20" s="182" t="s">
        <v>283</v>
      </c>
      <c r="D20" s="151">
        <f t="shared" ref="D20:P20" si="9">D52+D106+D201</f>
        <v>1137.76</v>
      </c>
      <c r="E20" s="152">
        <f t="shared" si="9"/>
        <v>194.96510238333664</v>
      </c>
      <c r="F20" s="153">
        <f t="shared" si="9"/>
        <v>219.19390907920345</v>
      </c>
      <c r="G20" s="154">
        <f t="shared" si="9"/>
        <v>73.921149539186018</v>
      </c>
      <c r="H20" s="155">
        <f t="shared" si="9"/>
        <v>1.9231046792852475</v>
      </c>
      <c r="I20" s="156">
        <f t="shared" si="9"/>
        <v>143.34965486073219</v>
      </c>
      <c r="J20" s="153">
        <f t="shared" si="9"/>
        <v>431.8733576339805</v>
      </c>
      <c r="K20" s="154">
        <f t="shared" si="9"/>
        <v>231.43992214551176</v>
      </c>
      <c r="L20" s="155">
        <f t="shared" si="9"/>
        <v>135.7203186449546</v>
      </c>
      <c r="M20" s="155">
        <f t="shared" si="9"/>
        <v>64.713116843514172</v>
      </c>
      <c r="N20" s="151">
        <f t="shared" si="9"/>
        <v>0</v>
      </c>
      <c r="O20" s="152">
        <f t="shared" si="9"/>
        <v>0</v>
      </c>
      <c r="P20" s="153">
        <f t="shared" si="9"/>
        <v>291.72763090347939</v>
      </c>
    </row>
    <row r="21" spans="1:21" ht="15.75" thickBot="1">
      <c r="B21" s="166" t="s">
        <v>284</v>
      </c>
      <c r="C21" s="183" t="s">
        <v>285</v>
      </c>
      <c r="D21" s="168">
        <f t="shared" ref="D21:P21" si="10">D53+D107+D202</f>
        <v>1111.17</v>
      </c>
      <c r="E21" s="169">
        <f t="shared" si="10"/>
        <v>190.78667821229092</v>
      </c>
      <c r="F21" s="170">
        <f t="shared" si="10"/>
        <v>213.82348602303836</v>
      </c>
      <c r="G21" s="171">
        <f t="shared" si="10"/>
        <v>71.904837472990593</v>
      </c>
      <c r="H21" s="172">
        <f t="shared" si="10"/>
        <v>1.8601822602578086</v>
      </c>
      <c r="I21" s="173">
        <f t="shared" si="10"/>
        <v>140.05846628978998</v>
      </c>
      <c r="J21" s="170">
        <f t="shared" si="10"/>
        <v>421.98564309729835</v>
      </c>
      <c r="K21" s="171">
        <f t="shared" si="10"/>
        <v>226.2902533603384</v>
      </c>
      <c r="L21" s="172">
        <f t="shared" si="10"/>
        <v>132.5054435942312</v>
      </c>
      <c r="M21" s="172">
        <f t="shared" si="10"/>
        <v>63.189946142728729</v>
      </c>
      <c r="N21" s="168">
        <f t="shared" si="10"/>
        <v>0</v>
      </c>
      <c r="O21" s="169">
        <f t="shared" si="10"/>
        <v>0</v>
      </c>
      <c r="P21" s="170">
        <f t="shared" si="10"/>
        <v>284.57419266737236</v>
      </c>
    </row>
    <row r="22" spans="1:21" ht="15.75" thickBot="1">
      <c r="A22" s="184"/>
      <c r="B22" s="185" t="s">
        <v>286</v>
      </c>
      <c r="C22" s="186" t="s">
        <v>287</v>
      </c>
      <c r="D22" s="187">
        <f>D32+D33+D47+D67+D69+D73+D75+D76+D77+D79+D85+D86+D101+D119+D121+D125+D128+D129+D131+D137+D138+D196+D214+D216+D220+D222+D223+D224+D226+D233+D234+D127</f>
        <v>158.29</v>
      </c>
      <c r="E22" s="188">
        <f>E32+E33+E47+E67+E69+E73+E75+E76+E77+E79+E85+E86+E101+E119+E121+E125+E127+E128+E129+E131+E137+E138+E196+E214+E216+E220+E222+E223+E224+E226+E233+E234+E127</f>
        <v>17.458889393354948</v>
      </c>
      <c r="F22" s="189">
        <f t="shared" ref="F22:P22" si="11">F32+F33+F47+F67+F69+F73+F75+F76+F77+F79+F85+F86+F101+F119+F121+F125+F128+F129+F131+F137+F138+F196+F214+F216+F220+F222+F223+F224+F226+F233+F234+F127</f>
        <v>41.07221059270001</v>
      </c>
      <c r="G22" s="190">
        <f t="shared" si="11"/>
        <v>8.9789116457270151</v>
      </c>
      <c r="H22" s="191">
        <f t="shared" si="11"/>
        <v>0.24634149198125466</v>
      </c>
      <c r="I22" s="192">
        <f t="shared" si="11"/>
        <v>31.846957454991738</v>
      </c>
      <c r="J22" s="189">
        <f t="shared" si="11"/>
        <v>59.272930612404068</v>
      </c>
      <c r="K22" s="190">
        <f t="shared" si="11"/>
        <v>24.242067745357289</v>
      </c>
      <c r="L22" s="191">
        <f t="shared" si="11"/>
        <v>23.375298829955803</v>
      </c>
      <c r="M22" s="191">
        <f t="shared" si="11"/>
        <v>11.655564037090969</v>
      </c>
      <c r="N22" s="187">
        <f t="shared" si="11"/>
        <v>0</v>
      </c>
      <c r="O22" s="188">
        <f t="shared" si="11"/>
        <v>0</v>
      </c>
      <c r="P22" s="193">
        <f t="shared" si="11"/>
        <v>40.485969401540984</v>
      </c>
    </row>
    <row r="23" spans="1:21" ht="16.5" thickTop="1" thickBot="1">
      <c r="A23" s="184"/>
      <c r="B23" s="194" t="s">
        <v>288</v>
      </c>
      <c r="C23" s="134" t="s">
        <v>289</v>
      </c>
      <c r="D23" s="195">
        <f t="shared" ref="D23:P23" si="12">D29+D90+D186</f>
        <v>2041.29</v>
      </c>
      <c r="E23" s="196">
        <f t="shared" si="12"/>
        <v>249.32540197011843</v>
      </c>
      <c r="F23" s="194">
        <f t="shared" si="12"/>
        <v>545.41915006482532</v>
      </c>
      <c r="G23" s="197">
        <f t="shared" si="12"/>
        <v>222.58997258180707</v>
      </c>
      <c r="H23" s="198">
        <f t="shared" si="12"/>
        <v>14.155006359809841</v>
      </c>
      <c r="I23" s="199">
        <f t="shared" si="12"/>
        <v>308.67417112320834</v>
      </c>
      <c r="J23" s="194">
        <f t="shared" si="12"/>
        <v>773.63699387901158</v>
      </c>
      <c r="K23" s="197">
        <f t="shared" si="12"/>
        <v>394.28550496569551</v>
      </c>
      <c r="L23" s="198">
        <f t="shared" si="12"/>
        <v>260.41586438753353</v>
      </c>
      <c r="M23" s="198">
        <f t="shared" si="12"/>
        <v>118.93562452578244</v>
      </c>
      <c r="N23" s="195">
        <f t="shared" si="12"/>
        <v>0</v>
      </c>
      <c r="O23" s="196">
        <f t="shared" si="12"/>
        <v>0</v>
      </c>
      <c r="P23" s="200">
        <f t="shared" si="12"/>
        <v>472.90816558604479</v>
      </c>
      <c r="S23" s="121"/>
      <c r="T23" s="201"/>
      <c r="U23" s="3"/>
    </row>
    <row r="24" spans="1:21" ht="15.75" thickTop="1">
      <c r="B24" s="202" t="s">
        <v>290</v>
      </c>
      <c r="C24" s="203" t="s">
        <v>291</v>
      </c>
      <c r="D24" s="151">
        <f t="shared" ref="D24:D31" si="13">E24+F24+J24+N24+O24+P24</f>
        <v>1736.7897115000001</v>
      </c>
      <c r="E24" s="152">
        <f t="shared" ref="E24:P24" si="14">SUM(E25:E27)</f>
        <v>249.23344197011843</v>
      </c>
      <c r="F24" s="153">
        <f t="shared" si="14"/>
        <v>393.50740206482527</v>
      </c>
      <c r="G24" s="154">
        <f t="shared" si="14"/>
        <v>108.20558058180707</v>
      </c>
      <c r="H24" s="155">
        <f t="shared" si="14"/>
        <v>7.9012823598098407</v>
      </c>
      <c r="I24" s="156">
        <f t="shared" si="14"/>
        <v>277.40053912320838</v>
      </c>
      <c r="J24" s="153">
        <f t="shared" si="14"/>
        <v>648.82994187901159</v>
      </c>
      <c r="K24" s="154">
        <f t="shared" si="14"/>
        <v>355.47356896569556</v>
      </c>
      <c r="L24" s="155">
        <f t="shared" si="14"/>
        <v>190.82992038753355</v>
      </c>
      <c r="M24" s="155">
        <f t="shared" si="14"/>
        <v>102.52645252578245</v>
      </c>
      <c r="N24" s="151">
        <f t="shared" si="14"/>
        <v>0</v>
      </c>
      <c r="O24" s="152">
        <f t="shared" si="14"/>
        <v>0</v>
      </c>
      <c r="P24" s="202">
        <f t="shared" si="14"/>
        <v>445.2189255860448</v>
      </c>
      <c r="S24" s="121"/>
      <c r="T24" s="121"/>
      <c r="U24" s="204"/>
    </row>
    <row r="25" spans="1:21">
      <c r="B25" s="205" t="s">
        <v>292</v>
      </c>
      <c r="C25" s="206" t="s">
        <v>293</v>
      </c>
      <c r="D25" s="207">
        <f t="shared" si="13"/>
        <v>1143.6399999999999</v>
      </c>
      <c r="E25" s="208">
        <f>E29-E30-E31-E35-E38-E39-E58-E59-E89</f>
        <v>170.5</v>
      </c>
      <c r="F25" s="205">
        <f t="shared" ref="F25:F30" si="15">SUM(G25:I25)</f>
        <v>245.78</v>
      </c>
      <c r="G25" s="209">
        <f>G29-G30-G31-G35-G38-G39-G58-G59-G89</f>
        <v>57.52</v>
      </c>
      <c r="H25" s="210">
        <f>H29-H30-H31-H35-H38-H39-H58-H59-H89</f>
        <v>4.2200000000000006</v>
      </c>
      <c r="I25" s="211">
        <f>I29-I30-I31-I35-I38-I39-I58-I59-I89</f>
        <v>184.04</v>
      </c>
      <c r="J25" s="205">
        <f t="shared" ref="J25:J56" si="16">SUM(K25:M25)</f>
        <v>425.8</v>
      </c>
      <c r="K25" s="209">
        <f t="shared" ref="K25:P25" si="17">K29-K30-K31-K35-K38-K39-K58-K59-K89</f>
        <v>236.82</v>
      </c>
      <c r="L25" s="210">
        <f t="shared" si="17"/>
        <v>120.86000000000001</v>
      </c>
      <c r="M25" s="210">
        <f t="shared" si="17"/>
        <v>68.11999999999999</v>
      </c>
      <c r="N25" s="207">
        <f t="shared" si="17"/>
        <v>0</v>
      </c>
      <c r="O25" s="208">
        <f t="shared" si="17"/>
        <v>0</v>
      </c>
      <c r="P25" s="205">
        <f t="shared" si="17"/>
        <v>301.56</v>
      </c>
      <c r="S25" s="121"/>
      <c r="T25" s="121"/>
      <c r="U25" s="204"/>
    </row>
    <row r="26" spans="1:21">
      <c r="B26" s="205" t="s">
        <v>294</v>
      </c>
      <c r="C26" s="212" t="s">
        <v>295</v>
      </c>
      <c r="D26" s="213">
        <f t="shared" si="13"/>
        <v>233.00971150000001</v>
      </c>
      <c r="E26" s="214">
        <f>E90-E92-E140</f>
        <v>27.271729499999999</v>
      </c>
      <c r="F26" s="215">
        <f t="shared" si="15"/>
        <v>65.208994000000004</v>
      </c>
      <c r="G26" s="216">
        <f>G90-G92-G140</f>
        <v>27.383219499999999</v>
      </c>
      <c r="H26" s="217">
        <f>H90-H92-H140</f>
        <v>1.8141365</v>
      </c>
      <c r="I26" s="218">
        <f>I90-I92-I140</f>
        <v>36.011638000000005</v>
      </c>
      <c r="J26" s="215">
        <f t="shared" si="16"/>
        <v>88.730460000000008</v>
      </c>
      <c r="K26" s="216">
        <f t="shared" ref="K26:P26" si="18">K90-K92-K140</f>
        <v>45.261310000000002</v>
      </c>
      <c r="L26" s="217">
        <f t="shared" si="18"/>
        <v>30.212431999999996</v>
      </c>
      <c r="M26" s="217">
        <f t="shared" si="18"/>
        <v>13.256718000000003</v>
      </c>
      <c r="N26" s="213">
        <f t="shared" si="18"/>
        <v>0</v>
      </c>
      <c r="O26" s="214">
        <f t="shared" si="18"/>
        <v>0</v>
      </c>
      <c r="P26" s="215">
        <f t="shared" si="18"/>
        <v>51.798528000000012</v>
      </c>
    </row>
    <row r="27" spans="1:21" ht="15.75" thickBot="1">
      <c r="B27" s="205" t="s">
        <v>296</v>
      </c>
      <c r="C27" s="219" t="s">
        <v>297</v>
      </c>
      <c r="D27" s="220">
        <f t="shared" si="13"/>
        <v>360.14</v>
      </c>
      <c r="E27" s="221">
        <f>E186</f>
        <v>51.461712470118442</v>
      </c>
      <c r="F27" s="222">
        <f t="shared" si="15"/>
        <v>82.51840806482528</v>
      </c>
      <c r="G27" s="223">
        <f>G186</f>
        <v>23.302361081807067</v>
      </c>
      <c r="H27" s="224">
        <f>H186</f>
        <v>1.8671458598098405</v>
      </c>
      <c r="I27" s="225">
        <f>I186</f>
        <v>57.348901123208371</v>
      </c>
      <c r="J27" s="222">
        <f t="shared" si="16"/>
        <v>134.29948187901152</v>
      </c>
      <c r="K27" s="223">
        <f t="shared" ref="K27:P27" si="19">K186</f>
        <v>73.392258965695561</v>
      </c>
      <c r="L27" s="224">
        <f t="shared" si="19"/>
        <v>39.75748838753352</v>
      </c>
      <c r="M27" s="224">
        <f t="shared" si="19"/>
        <v>21.149734525782449</v>
      </c>
      <c r="N27" s="220">
        <f t="shared" si="19"/>
        <v>0</v>
      </c>
      <c r="O27" s="221">
        <f t="shared" si="19"/>
        <v>0</v>
      </c>
      <c r="P27" s="222">
        <f t="shared" si="19"/>
        <v>91.860397586044755</v>
      </c>
    </row>
    <row r="28" spans="1:21" ht="16.5" thickTop="1" thickBot="1">
      <c r="B28" s="202" t="s">
        <v>298</v>
      </c>
      <c r="C28" s="203" t="s">
        <v>299</v>
      </c>
      <c r="D28" s="195">
        <f t="shared" si="13"/>
        <v>304.5</v>
      </c>
      <c r="E28" s="196">
        <f>E30+E31+E35+E38+E39+E58+E59+E89+E92+E140</f>
        <v>9.196E-2</v>
      </c>
      <c r="F28" s="194">
        <f t="shared" si="15"/>
        <v>151.91174800000002</v>
      </c>
      <c r="G28" s="197">
        <f>G30+G31+G35+G38+G39+G58+G59+G89+G92+G140</f>
        <v>114.38439200000001</v>
      </c>
      <c r="H28" s="198">
        <f>H30+H31+H35+H38+H39+H58+H59+H89+H92+H140</f>
        <v>6.2537240000000001</v>
      </c>
      <c r="I28" s="199">
        <f>I30+I31+I35+I38+I39+I58+I59+I89+I92+I140</f>
        <v>31.273631999999999</v>
      </c>
      <c r="J28" s="194">
        <f t="shared" si="16"/>
        <v>124.807052</v>
      </c>
      <c r="K28" s="197">
        <f t="shared" ref="K28:P28" si="20">K30+K31+K35+K38+K39+K58+K59+K89+K92+K140</f>
        <v>38.811936000000003</v>
      </c>
      <c r="L28" s="198">
        <f t="shared" si="20"/>
        <v>69.585943999999998</v>
      </c>
      <c r="M28" s="198">
        <f t="shared" si="20"/>
        <v>16.409171999999998</v>
      </c>
      <c r="N28" s="195">
        <f t="shared" si="20"/>
        <v>0</v>
      </c>
      <c r="O28" s="196">
        <f t="shared" si="20"/>
        <v>0</v>
      </c>
      <c r="P28" s="194">
        <f t="shared" si="20"/>
        <v>27.689240000000002</v>
      </c>
    </row>
    <row r="29" spans="1:21" ht="45" customHeight="1" thickTop="1" thickBot="1">
      <c r="B29" s="133" t="s">
        <v>53</v>
      </c>
      <c r="C29" s="134" t="s">
        <v>300</v>
      </c>
      <c r="D29" s="226">
        <f t="shared" si="13"/>
        <v>1447.38</v>
      </c>
      <c r="E29" s="227">
        <f>E30+E31+E34+E37+E40+E43+E45+E51+E52+E57+E63+E66+E81+E82</f>
        <v>170.5</v>
      </c>
      <c r="F29" s="133">
        <f t="shared" si="15"/>
        <v>397.5</v>
      </c>
      <c r="G29" s="228">
        <f>G30+G31+G34+G37+G40+G43+G45+G51+G52+G57+G63+G66+G81+G82</f>
        <v>171.81</v>
      </c>
      <c r="H29" s="229">
        <f>H30+H31+H34+H37+H40+H43+H45+H51+H52+H57+H63+H66+H81+H82</f>
        <v>10.47</v>
      </c>
      <c r="I29" s="230">
        <f>I30+I31+I34+I37+I40+I43+I45+I51+I52+I57+I63+I66+I81+I82</f>
        <v>215.22</v>
      </c>
      <c r="J29" s="133">
        <f t="shared" si="16"/>
        <v>550.32000000000005</v>
      </c>
      <c r="K29" s="228">
        <f t="shared" ref="K29:P29" si="21">K30+K31+K34+K37+K40+K43+K45+K51+K52+K57+K63+K66+K81+K82</f>
        <v>275.5</v>
      </c>
      <c r="L29" s="229">
        <f t="shared" si="21"/>
        <v>190.34000000000003</v>
      </c>
      <c r="M29" s="229">
        <f t="shared" si="21"/>
        <v>84.47999999999999</v>
      </c>
      <c r="N29" s="226">
        <f t="shared" si="21"/>
        <v>0</v>
      </c>
      <c r="O29" s="227">
        <f t="shared" si="21"/>
        <v>0</v>
      </c>
      <c r="P29" s="133">
        <f t="shared" si="21"/>
        <v>329.06</v>
      </c>
      <c r="Q29" s="231"/>
      <c r="R29" s="231"/>
      <c r="S29" s="204"/>
    </row>
    <row r="30" spans="1:21" ht="16.5" thickTop="1" thickBot="1">
      <c r="B30" s="141" t="s">
        <v>55</v>
      </c>
      <c r="C30" s="142" t="s">
        <v>269</v>
      </c>
      <c r="D30" s="143">
        <f t="shared" si="13"/>
        <v>0</v>
      </c>
      <c r="E30" s="144">
        <v>0</v>
      </c>
      <c r="F30" s="145">
        <f t="shared" si="15"/>
        <v>0</v>
      </c>
      <c r="G30" s="232">
        <v>0</v>
      </c>
      <c r="H30" s="233">
        <v>0</v>
      </c>
      <c r="I30" s="234">
        <v>0</v>
      </c>
      <c r="J30" s="153">
        <f t="shared" si="16"/>
        <v>0</v>
      </c>
      <c r="K30" s="232">
        <v>0</v>
      </c>
      <c r="L30" s="233">
        <v>0</v>
      </c>
      <c r="M30" s="233">
        <v>0</v>
      </c>
      <c r="N30" s="235">
        <v>0</v>
      </c>
      <c r="O30" s="236">
        <v>0</v>
      </c>
      <c r="P30" s="237">
        <v>0</v>
      </c>
    </row>
    <row r="31" spans="1:21">
      <c r="B31" s="149" t="s">
        <v>141</v>
      </c>
      <c r="C31" s="238" t="s">
        <v>270</v>
      </c>
      <c r="D31" s="151">
        <f t="shared" si="13"/>
        <v>0</v>
      </c>
      <c r="E31" s="152">
        <f>SUM(E32:E33)</f>
        <v>0</v>
      </c>
      <c r="F31" s="153">
        <v>0</v>
      </c>
      <c r="G31" s="154">
        <f>SUM(G32:G33)</f>
        <v>0</v>
      </c>
      <c r="H31" s="155">
        <f>SUM(H32:H33)</f>
        <v>0</v>
      </c>
      <c r="I31" s="156">
        <f>SUM(I32:I33)</f>
        <v>0</v>
      </c>
      <c r="J31" s="153">
        <f t="shared" si="16"/>
        <v>0</v>
      </c>
      <c r="K31" s="154">
        <f>SUM(K32:K33)</f>
        <v>0</v>
      </c>
      <c r="L31" s="155">
        <f>SUM(L32:L33)</f>
        <v>0</v>
      </c>
      <c r="M31" s="155">
        <f>SUM(M32:M33)</f>
        <v>0</v>
      </c>
      <c r="N31" s="151">
        <f>SUM(N32:N33)</f>
        <v>0</v>
      </c>
      <c r="O31" s="152">
        <v>0</v>
      </c>
      <c r="P31" s="153">
        <v>0</v>
      </c>
    </row>
    <row r="32" spans="1:21">
      <c r="B32" s="166" t="s">
        <v>143</v>
      </c>
      <c r="C32" s="167" t="s">
        <v>270</v>
      </c>
      <c r="D32" s="207">
        <f>J32+N32</f>
        <v>0</v>
      </c>
      <c r="E32" s="239">
        <v>0</v>
      </c>
      <c r="F32" s="240">
        <v>0</v>
      </c>
      <c r="G32" s="241">
        <v>0</v>
      </c>
      <c r="H32" s="96">
        <v>0</v>
      </c>
      <c r="I32" s="242">
        <v>0</v>
      </c>
      <c r="J32" s="205">
        <f t="shared" si="16"/>
        <v>0</v>
      </c>
      <c r="K32" s="241">
        <v>0</v>
      </c>
      <c r="L32" s="96">
        <v>0</v>
      </c>
      <c r="M32" s="96">
        <v>0</v>
      </c>
      <c r="N32" s="243">
        <v>0</v>
      </c>
      <c r="O32" s="239">
        <v>0</v>
      </c>
      <c r="P32" s="240">
        <v>0</v>
      </c>
    </row>
    <row r="33" spans="2:19" ht="15.75" thickBot="1">
      <c r="B33" s="166" t="s">
        <v>145</v>
      </c>
      <c r="C33" s="167" t="s">
        <v>301</v>
      </c>
      <c r="D33" s="207">
        <f>J33+N33</f>
        <v>0</v>
      </c>
      <c r="E33" s="239">
        <v>0</v>
      </c>
      <c r="F33" s="240">
        <v>0</v>
      </c>
      <c r="G33" s="241">
        <v>0</v>
      </c>
      <c r="H33" s="96">
        <v>0</v>
      </c>
      <c r="I33" s="242">
        <v>0</v>
      </c>
      <c r="J33" s="205">
        <f t="shared" si="16"/>
        <v>0</v>
      </c>
      <c r="K33" s="241">
        <v>0</v>
      </c>
      <c r="L33" s="96">
        <v>0</v>
      </c>
      <c r="M33" s="96">
        <v>0</v>
      </c>
      <c r="N33" s="243">
        <v>0</v>
      </c>
      <c r="O33" s="239">
        <v>0</v>
      </c>
      <c r="P33" s="240">
        <v>0</v>
      </c>
    </row>
    <row r="34" spans="2:19">
      <c r="B34" s="149" t="s">
        <v>302</v>
      </c>
      <c r="C34" s="238" t="s">
        <v>303</v>
      </c>
      <c r="D34" s="151">
        <f t="shared" ref="D34:D65" si="22">E34+F34+J34+N34+O34+P34</f>
        <v>200.27</v>
      </c>
      <c r="E34" s="152">
        <f>E35+E36</f>
        <v>0</v>
      </c>
      <c r="F34" s="153">
        <f>F35+F36</f>
        <v>78.569999999999993</v>
      </c>
      <c r="G34" s="154">
        <f>G35+G36</f>
        <v>45.97</v>
      </c>
      <c r="H34" s="155">
        <f>H35+H36</f>
        <v>1.42</v>
      </c>
      <c r="I34" s="156">
        <f>I35+I36</f>
        <v>31.18</v>
      </c>
      <c r="J34" s="153">
        <f t="shared" si="16"/>
        <v>109.60000000000001</v>
      </c>
      <c r="K34" s="154">
        <f t="shared" ref="K34:P34" si="23">SUM(K35:K36)</f>
        <v>41.42</v>
      </c>
      <c r="L34" s="155">
        <f t="shared" si="23"/>
        <v>68.180000000000007</v>
      </c>
      <c r="M34" s="155">
        <f t="shared" si="23"/>
        <v>0</v>
      </c>
      <c r="N34" s="151">
        <f t="shared" si="23"/>
        <v>0</v>
      </c>
      <c r="O34" s="152">
        <f t="shared" si="23"/>
        <v>0</v>
      </c>
      <c r="P34" s="153">
        <f t="shared" si="23"/>
        <v>12.1</v>
      </c>
      <c r="S34" s="204"/>
    </row>
    <row r="35" spans="2:19" ht="33" customHeight="1">
      <c r="B35" s="166" t="s">
        <v>304</v>
      </c>
      <c r="C35" s="167" t="s">
        <v>272</v>
      </c>
      <c r="D35" s="207">
        <f t="shared" si="22"/>
        <v>178.75</v>
      </c>
      <c r="E35" s="244">
        <v>0</v>
      </c>
      <c r="F35" s="205">
        <f t="shared" ref="F35:F66" si="24">SUM(G35:I35)</f>
        <v>78.569999999999993</v>
      </c>
      <c r="G35" s="241">
        <v>45.97</v>
      </c>
      <c r="H35" s="96">
        <v>1.42</v>
      </c>
      <c r="I35" s="242">
        <v>31.18</v>
      </c>
      <c r="J35" s="205">
        <f t="shared" si="16"/>
        <v>100.18</v>
      </c>
      <c r="K35" s="241">
        <v>38.68</v>
      </c>
      <c r="L35" s="96">
        <v>61.5</v>
      </c>
      <c r="M35" s="96">
        <v>0</v>
      </c>
      <c r="N35" s="243">
        <v>0</v>
      </c>
      <c r="O35" s="239">
        <v>0</v>
      </c>
      <c r="P35" s="240">
        <v>0</v>
      </c>
    </row>
    <row r="36" spans="2:19" ht="26.25" customHeight="1" thickBot="1">
      <c r="B36" s="166" t="s">
        <v>305</v>
      </c>
      <c r="C36" s="167" t="s">
        <v>306</v>
      </c>
      <c r="D36" s="207">
        <f t="shared" si="22"/>
        <v>21.52</v>
      </c>
      <c r="E36" s="239">
        <v>0</v>
      </c>
      <c r="F36" s="205">
        <f t="shared" si="24"/>
        <v>0</v>
      </c>
      <c r="G36" s="241">
        <v>0</v>
      </c>
      <c r="H36" s="245">
        <v>0</v>
      </c>
      <c r="I36" s="246">
        <v>0</v>
      </c>
      <c r="J36" s="205">
        <f t="shared" si="16"/>
        <v>9.42</v>
      </c>
      <c r="K36" s="247">
        <v>2.74</v>
      </c>
      <c r="L36" s="245">
        <v>6.68</v>
      </c>
      <c r="M36" s="245">
        <v>0</v>
      </c>
      <c r="N36" s="243">
        <v>0</v>
      </c>
      <c r="O36" s="239">
        <v>0</v>
      </c>
      <c r="P36" s="240">
        <v>12.1</v>
      </c>
    </row>
    <row r="37" spans="2:19">
      <c r="B37" s="149" t="s">
        <v>307</v>
      </c>
      <c r="C37" s="238" t="s">
        <v>273</v>
      </c>
      <c r="D37" s="151">
        <f t="shared" si="22"/>
        <v>17.149999999999999</v>
      </c>
      <c r="E37" s="152">
        <f>E38+E39</f>
        <v>0</v>
      </c>
      <c r="F37" s="153">
        <f t="shared" si="24"/>
        <v>0.43</v>
      </c>
      <c r="G37" s="154">
        <f>G38</f>
        <v>0</v>
      </c>
      <c r="H37" s="155">
        <f>H38</f>
        <v>0.43</v>
      </c>
      <c r="I37" s="156">
        <f>I38</f>
        <v>0</v>
      </c>
      <c r="J37" s="153">
        <f t="shared" si="16"/>
        <v>16.72</v>
      </c>
      <c r="K37" s="154">
        <f t="shared" ref="K37:P37" si="25">SUM(K38:K39)</f>
        <v>0</v>
      </c>
      <c r="L37" s="155">
        <f t="shared" si="25"/>
        <v>0.36</v>
      </c>
      <c r="M37" s="155">
        <f t="shared" si="25"/>
        <v>16.36</v>
      </c>
      <c r="N37" s="151">
        <f t="shared" si="25"/>
        <v>0</v>
      </c>
      <c r="O37" s="152">
        <f t="shared" si="25"/>
        <v>0</v>
      </c>
      <c r="P37" s="153">
        <f t="shared" si="25"/>
        <v>0</v>
      </c>
    </row>
    <row r="38" spans="2:19">
      <c r="B38" s="166" t="s">
        <v>308</v>
      </c>
      <c r="C38" s="167" t="s">
        <v>309</v>
      </c>
      <c r="D38" s="207">
        <f t="shared" si="22"/>
        <v>17.149999999999999</v>
      </c>
      <c r="E38" s="244">
        <v>0</v>
      </c>
      <c r="F38" s="205">
        <f t="shared" si="24"/>
        <v>0.43</v>
      </c>
      <c r="G38" s="247">
        <v>0</v>
      </c>
      <c r="H38" s="245">
        <v>0.43</v>
      </c>
      <c r="I38" s="246">
        <v>0</v>
      </c>
      <c r="J38" s="205">
        <f t="shared" si="16"/>
        <v>16.72</v>
      </c>
      <c r="K38" s="247">
        <v>0</v>
      </c>
      <c r="L38" s="245">
        <v>0.36</v>
      </c>
      <c r="M38" s="245">
        <v>16.36</v>
      </c>
      <c r="N38" s="248">
        <v>0</v>
      </c>
      <c r="O38" s="239">
        <v>0</v>
      </c>
      <c r="P38" s="240">
        <v>0</v>
      </c>
    </row>
    <row r="39" spans="2:19" ht="15.75" thickBot="1">
      <c r="B39" s="166" t="s">
        <v>310</v>
      </c>
      <c r="C39" s="167" t="s">
        <v>311</v>
      </c>
      <c r="D39" s="207">
        <f t="shared" si="22"/>
        <v>0</v>
      </c>
      <c r="E39" s="244">
        <v>0</v>
      </c>
      <c r="F39" s="205">
        <f t="shared" si="24"/>
        <v>0</v>
      </c>
      <c r="G39" s="247">
        <v>0</v>
      </c>
      <c r="H39" s="245">
        <v>0</v>
      </c>
      <c r="I39" s="246">
        <v>0</v>
      </c>
      <c r="J39" s="205">
        <f t="shared" si="16"/>
        <v>0</v>
      </c>
      <c r="K39" s="247">
        <v>0</v>
      </c>
      <c r="L39" s="245">
        <v>0</v>
      </c>
      <c r="M39" s="245">
        <v>0</v>
      </c>
      <c r="N39" s="248">
        <v>0</v>
      </c>
      <c r="O39" s="239">
        <v>0</v>
      </c>
      <c r="P39" s="240">
        <v>0</v>
      </c>
    </row>
    <row r="40" spans="2:19">
      <c r="B40" s="149" t="s">
        <v>312</v>
      </c>
      <c r="C40" s="238" t="s">
        <v>313</v>
      </c>
      <c r="D40" s="151">
        <f t="shared" si="22"/>
        <v>72.77</v>
      </c>
      <c r="E40" s="152">
        <f>SUM(E41:E42)</f>
        <v>2.71</v>
      </c>
      <c r="F40" s="153">
        <f t="shared" si="24"/>
        <v>7.54</v>
      </c>
      <c r="G40" s="154">
        <f>SUM(G41:G42)</f>
        <v>0</v>
      </c>
      <c r="H40" s="155">
        <f>SUM(H41:H42)</f>
        <v>0</v>
      </c>
      <c r="I40" s="156">
        <f>SUM(I41:I42)</f>
        <v>7.54</v>
      </c>
      <c r="J40" s="153">
        <f t="shared" si="16"/>
        <v>33.809999999999995</v>
      </c>
      <c r="K40" s="154">
        <f t="shared" ref="K40:P40" si="26">SUM(K41:K42)</f>
        <v>15.53</v>
      </c>
      <c r="L40" s="155">
        <f t="shared" si="26"/>
        <v>0.04</v>
      </c>
      <c r="M40" s="155">
        <f t="shared" si="26"/>
        <v>18.239999999999998</v>
      </c>
      <c r="N40" s="151">
        <f t="shared" si="26"/>
        <v>0</v>
      </c>
      <c r="O40" s="152">
        <f t="shared" si="26"/>
        <v>0</v>
      </c>
      <c r="P40" s="153">
        <f t="shared" si="26"/>
        <v>28.71</v>
      </c>
    </row>
    <row r="41" spans="2:19" ht="31.5" customHeight="1">
      <c r="B41" s="166" t="s">
        <v>314</v>
      </c>
      <c r="C41" s="167" t="s">
        <v>315</v>
      </c>
      <c r="D41" s="207">
        <f t="shared" si="22"/>
        <v>70.06</v>
      </c>
      <c r="E41" s="239">
        <v>0</v>
      </c>
      <c r="F41" s="205">
        <f t="shared" si="24"/>
        <v>7.54</v>
      </c>
      <c r="G41" s="241">
        <v>0</v>
      </c>
      <c r="H41" s="96">
        <v>0</v>
      </c>
      <c r="I41" s="242">
        <v>7.54</v>
      </c>
      <c r="J41" s="205">
        <f t="shared" si="16"/>
        <v>33.809999999999995</v>
      </c>
      <c r="K41" s="241">
        <v>15.53</v>
      </c>
      <c r="L41" s="96">
        <v>0.04</v>
      </c>
      <c r="M41" s="96">
        <v>18.239999999999998</v>
      </c>
      <c r="N41" s="243">
        <v>0</v>
      </c>
      <c r="O41" s="239">
        <v>0</v>
      </c>
      <c r="P41" s="240">
        <v>28.71</v>
      </c>
    </row>
    <row r="42" spans="2:19" ht="15.75" thickBot="1">
      <c r="B42" s="166" t="s">
        <v>316</v>
      </c>
      <c r="C42" s="167" t="s">
        <v>317</v>
      </c>
      <c r="D42" s="207">
        <f t="shared" si="22"/>
        <v>2.71</v>
      </c>
      <c r="E42" s="239">
        <v>2.71</v>
      </c>
      <c r="F42" s="205">
        <f t="shared" si="24"/>
        <v>0</v>
      </c>
      <c r="G42" s="241">
        <v>0</v>
      </c>
      <c r="H42" s="96">
        <v>0</v>
      </c>
      <c r="I42" s="242">
        <v>0</v>
      </c>
      <c r="J42" s="205">
        <f t="shared" si="16"/>
        <v>0</v>
      </c>
      <c r="K42" s="241">
        <v>0</v>
      </c>
      <c r="L42" s="96">
        <v>0</v>
      </c>
      <c r="M42" s="96">
        <v>0</v>
      </c>
      <c r="N42" s="243">
        <v>0</v>
      </c>
      <c r="O42" s="239">
        <v>0</v>
      </c>
      <c r="P42" s="240">
        <v>0</v>
      </c>
    </row>
    <row r="43" spans="2:19">
      <c r="B43" s="149" t="s">
        <v>318</v>
      </c>
      <c r="C43" s="238" t="s">
        <v>319</v>
      </c>
      <c r="D43" s="151">
        <f t="shared" si="22"/>
        <v>3.57</v>
      </c>
      <c r="E43" s="152">
        <f>E44</f>
        <v>0</v>
      </c>
      <c r="F43" s="153">
        <f t="shared" si="24"/>
        <v>3.57</v>
      </c>
      <c r="G43" s="154">
        <f>G44</f>
        <v>3.5</v>
      </c>
      <c r="H43" s="155">
        <f>H44</f>
        <v>7.0000000000000007E-2</v>
      </c>
      <c r="I43" s="156">
        <f>I44</f>
        <v>0</v>
      </c>
      <c r="J43" s="153">
        <f t="shared" si="16"/>
        <v>0</v>
      </c>
      <c r="K43" s="154">
        <f t="shared" ref="K43:P43" si="27">K44</f>
        <v>0</v>
      </c>
      <c r="L43" s="155">
        <f t="shared" si="27"/>
        <v>0</v>
      </c>
      <c r="M43" s="155">
        <f t="shared" si="27"/>
        <v>0</v>
      </c>
      <c r="N43" s="151">
        <f t="shared" si="27"/>
        <v>0</v>
      </c>
      <c r="O43" s="152">
        <f t="shared" si="27"/>
        <v>0</v>
      </c>
      <c r="P43" s="153">
        <f t="shared" si="27"/>
        <v>0</v>
      </c>
    </row>
    <row r="44" spans="2:19" ht="15.75" thickBot="1">
      <c r="B44" s="166" t="s">
        <v>320</v>
      </c>
      <c r="C44" s="167" t="s">
        <v>321</v>
      </c>
      <c r="D44" s="207">
        <f t="shared" si="22"/>
        <v>3.57</v>
      </c>
      <c r="E44" s="239">
        <v>0</v>
      </c>
      <c r="F44" s="205">
        <f t="shared" si="24"/>
        <v>3.57</v>
      </c>
      <c r="G44" s="241">
        <v>3.5</v>
      </c>
      <c r="H44" s="96">
        <v>7.0000000000000007E-2</v>
      </c>
      <c r="I44" s="242">
        <v>0</v>
      </c>
      <c r="J44" s="205">
        <f t="shared" si="16"/>
        <v>0</v>
      </c>
      <c r="K44" s="241">
        <v>0</v>
      </c>
      <c r="L44" s="96">
        <v>0</v>
      </c>
      <c r="M44" s="96">
        <v>0</v>
      </c>
      <c r="N44" s="243">
        <v>0</v>
      </c>
      <c r="O44" s="239">
        <v>0</v>
      </c>
      <c r="P44" s="240">
        <v>0</v>
      </c>
    </row>
    <row r="45" spans="2:19">
      <c r="B45" s="149" t="s">
        <v>322</v>
      </c>
      <c r="C45" s="238" t="s">
        <v>323</v>
      </c>
      <c r="D45" s="151">
        <f t="shared" si="22"/>
        <v>129.62</v>
      </c>
      <c r="E45" s="152">
        <f>SUM(E46:E50)</f>
        <v>3.24</v>
      </c>
      <c r="F45" s="153">
        <f t="shared" si="24"/>
        <v>28.54</v>
      </c>
      <c r="G45" s="154">
        <f>SUM(G46:G50)</f>
        <v>2.79</v>
      </c>
      <c r="H45" s="155">
        <f>SUM(H46:H50)</f>
        <v>0</v>
      </c>
      <c r="I45" s="156">
        <f>SUM(I46:I50)</f>
        <v>25.75</v>
      </c>
      <c r="J45" s="153">
        <f t="shared" si="16"/>
        <v>37.5</v>
      </c>
      <c r="K45" s="154">
        <f t="shared" ref="K45:P45" si="28">SUM(K46:K50)</f>
        <v>14.879999999999999</v>
      </c>
      <c r="L45" s="155">
        <f t="shared" si="28"/>
        <v>11.85</v>
      </c>
      <c r="M45" s="155">
        <f t="shared" si="28"/>
        <v>10.77</v>
      </c>
      <c r="N45" s="151">
        <f t="shared" si="28"/>
        <v>0</v>
      </c>
      <c r="O45" s="152">
        <f t="shared" si="28"/>
        <v>0</v>
      </c>
      <c r="P45" s="153">
        <f t="shared" si="28"/>
        <v>60.339999999999996</v>
      </c>
    </row>
    <row r="46" spans="2:19">
      <c r="B46" s="166" t="s">
        <v>324</v>
      </c>
      <c r="C46" s="167" t="s">
        <v>277</v>
      </c>
      <c r="D46" s="207">
        <f t="shared" si="22"/>
        <v>76.069999999999993</v>
      </c>
      <c r="E46" s="239">
        <v>1.65</v>
      </c>
      <c r="F46" s="205">
        <f t="shared" si="24"/>
        <v>17.47</v>
      </c>
      <c r="G46" s="241">
        <v>0.22</v>
      </c>
      <c r="H46" s="96">
        <v>0</v>
      </c>
      <c r="I46" s="242">
        <v>17.25</v>
      </c>
      <c r="J46" s="205">
        <f t="shared" si="16"/>
        <v>11.979999999999999</v>
      </c>
      <c r="K46" s="241">
        <v>6.05</v>
      </c>
      <c r="L46" s="96">
        <v>3.51</v>
      </c>
      <c r="M46" s="96">
        <v>2.42</v>
      </c>
      <c r="N46" s="243">
        <v>0</v>
      </c>
      <c r="O46" s="239">
        <v>0</v>
      </c>
      <c r="P46" s="240">
        <v>44.97</v>
      </c>
    </row>
    <row r="47" spans="2:19">
      <c r="B47" s="166" t="s">
        <v>325</v>
      </c>
      <c r="C47" s="167" t="s">
        <v>281</v>
      </c>
      <c r="D47" s="207">
        <f t="shared" si="22"/>
        <v>53.300000000000004</v>
      </c>
      <c r="E47" s="239">
        <v>1.34</v>
      </c>
      <c r="F47" s="205">
        <f t="shared" si="24"/>
        <v>11.07</v>
      </c>
      <c r="G47" s="241">
        <v>2.57</v>
      </c>
      <c r="H47" s="96">
        <v>0</v>
      </c>
      <c r="I47" s="242">
        <v>8.5</v>
      </c>
      <c r="J47" s="205">
        <f t="shared" si="16"/>
        <v>25.520000000000003</v>
      </c>
      <c r="K47" s="241">
        <v>8.83</v>
      </c>
      <c r="L47" s="96">
        <v>8.34</v>
      </c>
      <c r="M47" s="96">
        <v>8.35</v>
      </c>
      <c r="N47" s="243">
        <v>0</v>
      </c>
      <c r="O47" s="239">
        <v>0</v>
      </c>
      <c r="P47" s="240">
        <v>15.37</v>
      </c>
    </row>
    <row r="48" spans="2:19">
      <c r="B48" s="166" t="s">
        <v>326</v>
      </c>
      <c r="C48" s="249" t="s">
        <v>327</v>
      </c>
      <c r="D48" s="207">
        <f t="shared" si="22"/>
        <v>0.25</v>
      </c>
      <c r="E48" s="239">
        <v>0.25</v>
      </c>
      <c r="F48" s="205">
        <f t="shared" si="24"/>
        <v>0</v>
      </c>
      <c r="G48" s="241">
        <v>0</v>
      </c>
      <c r="H48" s="96">
        <v>0</v>
      </c>
      <c r="I48" s="242">
        <v>0</v>
      </c>
      <c r="J48" s="205">
        <f t="shared" si="16"/>
        <v>0</v>
      </c>
      <c r="K48" s="241">
        <v>0</v>
      </c>
      <c r="L48" s="96">
        <v>0</v>
      </c>
      <c r="M48" s="96">
        <v>0</v>
      </c>
      <c r="N48" s="243">
        <v>0</v>
      </c>
      <c r="O48" s="239">
        <v>0</v>
      </c>
      <c r="P48" s="240">
        <v>0</v>
      </c>
    </row>
    <row r="49" spans="2:16">
      <c r="B49" s="166" t="s">
        <v>328</v>
      </c>
      <c r="C49" s="250" t="s">
        <v>279</v>
      </c>
      <c r="D49" s="207">
        <f t="shared" si="22"/>
        <v>0</v>
      </c>
      <c r="E49" s="239">
        <v>0</v>
      </c>
      <c r="F49" s="205">
        <f t="shared" si="24"/>
        <v>0</v>
      </c>
      <c r="G49" s="241">
        <v>0</v>
      </c>
      <c r="H49" s="96">
        <v>0</v>
      </c>
      <c r="I49" s="242">
        <v>0</v>
      </c>
      <c r="J49" s="205">
        <f t="shared" si="16"/>
        <v>0</v>
      </c>
      <c r="K49" s="241">
        <v>0</v>
      </c>
      <c r="L49" s="96">
        <v>0</v>
      </c>
      <c r="M49" s="96">
        <v>0</v>
      </c>
      <c r="N49" s="243">
        <v>0</v>
      </c>
      <c r="O49" s="239">
        <v>0</v>
      </c>
      <c r="P49" s="240">
        <v>0</v>
      </c>
    </row>
    <row r="50" spans="2:16" ht="29.25" customHeight="1" thickBot="1">
      <c r="B50" s="166" t="s">
        <v>329</v>
      </c>
      <c r="C50" s="250" t="s">
        <v>330</v>
      </c>
      <c r="D50" s="207">
        <f t="shared" si="22"/>
        <v>0</v>
      </c>
      <c r="E50" s="239">
        <v>0</v>
      </c>
      <c r="F50" s="205">
        <f t="shared" si="24"/>
        <v>0</v>
      </c>
      <c r="G50" s="241">
        <v>0</v>
      </c>
      <c r="H50" s="96">
        <v>0</v>
      </c>
      <c r="I50" s="242">
        <v>0</v>
      </c>
      <c r="J50" s="205">
        <f t="shared" si="16"/>
        <v>0</v>
      </c>
      <c r="K50" s="241">
        <v>0</v>
      </c>
      <c r="L50" s="96">
        <v>0</v>
      </c>
      <c r="M50" s="96">
        <v>0</v>
      </c>
      <c r="N50" s="243">
        <v>0</v>
      </c>
      <c r="O50" s="239">
        <v>0</v>
      </c>
      <c r="P50" s="240">
        <v>0</v>
      </c>
    </row>
    <row r="51" spans="2:16" ht="15.75" thickBot="1">
      <c r="B51" s="149" t="s">
        <v>331</v>
      </c>
      <c r="C51" s="238" t="s">
        <v>332</v>
      </c>
      <c r="D51" s="151">
        <f t="shared" si="22"/>
        <v>145.35</v>
      </c>
      <c r="E51" s="251">
        <v>12.9</v>
      </c>
      <c r="F51" s="153">
        <f t="shared" si="24"/>
        <v>69.099999999999994</v>
      </c>
      <c r="G51" s="252">
        <v>10.56</v>
      </c>
      <c r="H51" s="253">
        <v>4.1500000000000004</v>
      </c>
      <c r="I51" s="254">
        <v>54.39</v>
      </c>
      <c r="J51" s="153">
        <f t="shared" si="16"/>
        <v>58.51</v>
      </c>
      <c r="K51" s="252">
        <v>49.48</v>
      </c>
      <c r="L51" s="253">
        <v>8.8000000000000007</v>
      </c>
      <c r="M51" s="253">
        <v>0.23</v>
      </c>
      <c r="N51" s="255">
        <v>0</v>
      </c>
      <c r="O51" s="256">
        <v>0</v>
      </c>
      <c r="P51" s="257">
        <v>4.84</v>
      </c>
    </row>
    <row r="52" spans="2:16">
      <c r="B52" s="149" t="s">
        <v>333</v>
      </c>
      <c r="C52" s="238" t="s">
        <v>334</v>
      </c>
      <c r="D52" s="151">
        <f t="shared" si="22"/>
        <v>714.59</v>
      </c>
      <c r="E52" s="152">
        <f>SUM(E53:E56)</f>
        <v>137.47999999999999</v>
      </c>
      <c r="F52" s="153">
        <f t="shared" si="24"/>
        <v>119.75</v>
      </c>
      <c r="G52" s="154">
        <f>SUM(G53:G56)</f>
        <v>38.730000000000004</v>
      </c>
      <c r="H52" s="155">
        <f>SUM(H53:H56)</f>
        <v>0</v>
      </c>
      <c r="I52" s="156">
        <f>SUM(I53:I56)</f>
        <v>81.02</v>
      </c>
      <c r="J52" s="153">
        <f t="shared" si="16"/>
        <v>273.13</v>
      </c>
      <c r="K52" s="154">
        <f t="shared" ref="K52:P52" si="29">SUM(K53:K56)</f>
        <v>149.31</v>
      </c>
      <c r="L52" s="155">
        <f t="shared" si="29"/>
        <v>84.94</v>
      </c>
      <c r="M52" s="155">
        <f t="shared" si="29"/>
        <v>38.880000000000003</v>
      </c>
      <c r="N52" s="151">
        <f t="shared" si="29"/>
        <v>0</v>
      </c>
      <c r="O52" s="152">
        <f t="shared" si="29"/>
        <v>0</v>
      </c>
      <c r="P52" s="153">
        <f t="shared" si="29"/>
        <v>184.23000000000002</v>
      </c>
    </row>
    <row r="53" spans="2:16">
      <c r="B53" s="258" t="s">
        <v>335</v>
      </c>
      <c r="C53" s="259" t="s">
        <v>336</v>
      </c>
      <c r="D53" s="207">
        <f t="shared" si="22"/>
        <v>701.53</v>
      </c>
      <c r="E53" s="239">
        <v>135.07</v>
      </c>
      <c r="F53" s="205">
        <f t="shared" si="24"/>
        <v>117.64</v>
      </c>
      <c r="G53" s="241">
        <v>38.03</v>
      </c>
      <c r="H53" s="96">
        <v>0</v>
      </c>
      <c r="I53" s="242">
        <v>79.61</v>
      </c>
      <c r="J53" s="205">
        <f t="shared" si="16"/>
        <v>268.33</v>
      </c>
      <c r="K53" s="241">
        <v>146.69</v>
      </c>
      <c r="L53" s="96">
        <v>83.44</v>
      </c>
      <c r="M53" s="96">
        <v>38.200000000000003</v>
      </c>
      <c r="N53" s="243">
        <v>0</v>
      </c>
      <c r="O53" s="239">
        <v>0</v>
      </c>
      <c r="P53" s="240">
        <v>180.49</v>
      </c>
    </row>
    <row r="54" spans="2:16">
      <c r="B54" s="258" t="s">
        <v>337</v>
      </c>
      <c r="C54" s="259" t="s">
        <v>338</v>
      </c>
      <c r="D54" s="207">
        <f t="shared" si="22"/>
        <v>13.06</v>
      </c>
      <c r="E54" s="239">
        <v>2.41</v>
      </c>
      <c r="F54" s="205">
        <f t="shared" si="24"/>
        <v>2.11</v>
      </c>
      <c r="G54" s="241">
        <v>0.7</v>
      </c>
      <c r="H54" s="96">
        <v>0</v>
      </c>
      <c r="I54" s="242">
        <v>1.41</v>
      </c>
      <c r="J54" s="205">
        <f t="shared" si="16"/>
        <v>4.8</v>
      </c>
      <c r="K54" s="241">
        <v>2.62</v>
      </c>
      <c r="L54" s="96">
        <v>1.5</v>
      </c>
      <c r="M54" s="96">
        <v>0.68</v>
      </c>
      <c r="N54" s="243">
        <v>0</v>
      </c>
      <c r="O54" s="239">
        <v>0</v>
      </c>
      <c r="P54" s="240">
        <v>3.74</v>
      </c>
    </row>
    <row r="55" spans="2:16">
      <c r="B55" s="258" t="s">
        <v>339</v>
      </c>
      <c r="C55" s="259" t="s">
        <v>340</v>
      </c>
      <c r="D55" s="207">
        <f t="shared" si="22"/>
        <v>0</v>
      </c>
      <c r="E55" s="239">
        <v>0</v>
      </c>
      <c r="F55" s="205">
        <f t="shared" si="24"/>
        <v>0</v>
      </c>
      <c r="G55" s="241">
        <v>0</v>
      </c>
      <c r="H55" s="96">
        <v>0</v>
      </c>
      <c r="I55" s="242">
        <v>0</v>
      </c>
      <c r="J55" s="205">
        <f t="shared" si="16"/>
        <v>0</v>
      </c>
      <c r="K55" s="241">
        <v>0</v>
      </c>
      <c r="L55" s="96">
        <v>0</v>
      </c>
      <c r="M55" s="96">
        <v>0</v>
      </c>
      <c r="N55" s="243">
        <v>0</v>
      </c>
      <c r="O55" s="239">
        <v>0</v>
      </c>
      <c r="P55" s="240">
        <v>0</v>
      </c>
    </row>
    <row r="56" spans="2:16" ht="15.75" thickBot="1">
      <c r="B56" s="258" t="s">
        <v>341</v>
      </c>
      <c r="C56" s="249" t="s">
        <v>342</v>
      </c>
      <c r="D56" s="207">
        <f t="shared" si="22"/>
        <v>0</v>
      </c>
      <c r="E56" s="239">
        <v>0</v>
      </c>
      <c r="F56" s="205">
        <f t="shared" si="24"/>
        <v>0</v>
      </c>
      <c r="G56" s="241">
        <v>0</v>
      </c>
      <c r="H56" s="96">
        <v>0</v>
      </c>
      <c r="I56" s="242">
        <v>0</v>
      </c>
      <c r="J56" s="205">
        <f t="shared" si="16"/>
        <v>0</v>
      </c>
      <c r="K56" s="241">
        <v>0</v>
      </c>
      <c r="L56" s="96">
        <v>0</v>
      </c>
      <c r="M56" s="96">
        <v>0</v>
      </c>
      <c r="N56" s="243">
        <v>0</v>
      </c>
      <c r="O56" s="239">
        <v>0</v>
      </c>
      <c r="P56" s="240">
        <v>0</v>
      </c>
    </row>
    <row r="57" spans="2:16">
      <c r="B57" s="149" t="s">
        <v>343</v>
      </c>
      <c r="C57" s="238" t="s">
        <v>344</v>
      </c>
      <c r="D57" s="151">
        <f t="shared" si="22"/>
        <v>75.510000000000005</v>
      </c>
      <c r="E57" s="152">
        <f>SUM(E58:E62)</f>
        <v>0</v>
      </c>
      <c r="F57" s="153">
        <f t="shared" si="24"/>
        <v>67.89</v>
      </c>
      <c r="G57" s="154">
        <f>SUM(G58:G62)</f>
        <v>67.89</v>
      </c>
      <c r="H57" s="155">
        <f>SUM(H58:H62)</f>
        <v>0</v>
      </c>
      <c r="I57" s="156">
        <f>SUM(I58:I62)</f>
        <v>0</v>
      </c>
      <c r="J57" s="153">
        <f t="shared" ref="J57:J88" si="30">SUM(K57:M57)</f>
        <v>7.62</v>
      </c>
      <c r="K57" s="154">
        <f t="shared" ref="K57:P57" si="31">SUM(K58:K62)</f>
        <v>0</v>
      </c>
      <c r="L57" s="155">
        <f t="shared" si="31"/>
        <v>7.62</v>
      </c>
      <c r="M57" s="155">
        <f t="shared" si="31"/>
        <v>0</v>
      </c>
      <c r="N57" s="151">
        <f t="shared" si="31"/>
        <v>0</v>
      </c>
      <c r="O57" s="152">
        <f t="shared" si="31"/>
        <v>0</v>
      </c>
      <c r="P57" s="153">
        <f t="shared" si="31"/>
        <v>0</v>
      </c>
    </row>
    <row r="58" spans="2:16">
      <c r="B58" s="258" t="s">
        <v>345</v>
      </c>
      <c r="C58" s="259" t="s">
        <v>346</v>
      </c>
      <c r="D58" s="168">
        <f t="shared" si="22"/>
        <v>67.89</v>
      </c>
      <c r="E58" s="244">
        <v>0</v>
      </c>
      <c r="F58" s="205">
        <f t="shared" si="24"/>
        <v>67.89</v>
      </c>
      <c r="G58" s="247">
        <v>67.89</v>
      </c>
      <c r="H58" s="245">
        <v>0</v>
      </c>
      <c r="I58" s="246">
        <v>0</v>
      </c>
      <c r="J58" s="205">
        <f t="shared" si="30"/>
        <v>0</v>
      </c>
      <c r="K58" s="247">
        <v>0</v>
      </c>
      <c r="L58" s="245">
        <v>0</v>
      </c>
      <c r="M58" s="245">
        <v>0</v>
      </c>
      <c r="N58" s="248">
        <v>0</v>
      </c>
      <c r="O58" s="244">
        <v>0</v>
      </c>
      <c r="P58" s="260">
        <v>0</v>
      </c>
    </row>
    <row r="59" spans="2:16">
      <c r="B59" s="258" t="s">
        <v>347</v>
      </c>
      <c r="C59" s="259" t="s">
        <v>348</v>
      </c>
      <c r="D59" s="168">
        <f t="shared" si="22"/>
        <v>7.62</v>
      </c>
      <c r="E59" s="244">
        <v>0</v>
      </c>
      <c r="F59" s="205">
        <f t="shared" si="24"/>
        <v>0</v>
      </c>
      <c r="G59" s="247">
        <v>0</v>
      </c>
      <c r="H59" s="245">
        <v>0</v>
      </c>
      <c r="I59" s="246">
        <v>0</v>
      </c>
      <c r="J59" s="205">
        <f t="shared" si="30"/>
        <v>7.62</v>
      </c>
      <c r="K59" s="247">
        <v>0</v>
      </c>
      <c r="L59" s="245">
        <v>7.62</v>
      </c>
      <c r="M59" s="245">
        <v>0</v>
      </c>
      <c r="N59" s="248">
        <v>0</v>
      </c>
      <c r="O59" s="244">
        <v>0</v>
      </c>
      <c r="P59" s="260">
        <v>0</v>
      </c>
    </row>
    <row r="60" spans="2:16">
      <c r="B60" s="258" t="s">
        <v>349</v>
      </c>
      <c r="C60" s="259" t="s">
        <v>350</v>
      </c>
      <c r="D60" s="168">
        <f t="shared" si="22"/>
        <v>0</v>
      </c>
      <c r="E60" s="244">
        <v>0</v>
      </c>
      <c r="F60" s="205">
        <f t="shared" si="24"/>
        <v>0</v>
      </c>
      <c r="G60" s="247">
        <v>0</v>
      </c>
      <c r="H60" s="245">
        <v>0</v>
      </c>
      <c r="I60" s="246">
        <v>0</v>
      </c>
      <c r="J60" s="205">
        <f t="shared" si="30"/>
        <v>0</v>
      </c>
      <c r="K60" s="247">
        <v>0</v>
      </c>
      <c r="L60" s="245">
        <v>0</v>
      </c>
      <c r="M60" s="245">
        <v>0</v>
      </c>
      <c r="N60" s="248">
        <v>0</v>
      </c>
      <c r="O60" s="244">
        <v>0</v>
      </c>
      <c r="P60" s="260">
        <v>0</v>
      </c>
    </row>
    <row r="61" spans="2:16">
      <c r="B61" s="258" t="s">
        <v>351</v>
      </c>
      <c r="C61" s="259" t="s">
        <v>352</v>
      </c>
      <c r="D61" s="168">
        <f t="shared" si="22"/>
        <v>0</v>
      </c>
      <c r="E61" s="244">
        <v>0</v>
      </c>
      <c r="F61" s="205">
        <f t="shared" si="24"/>
        <v>0</v>
      </c>
      <c r="G61" s="247">
        <v>0</v>
      </c>
      <c r="H61" s="245">
        <v>0</v>
      </c>
      <c r="I61" s="246">
        <v>0</v>
      </c>
      <c r="J61" s="205">
        <f t="shared" si="30"/>
        <v>0</v>
      </c>
      <c r="K61" s="247">
        <v>0</v>
      </c>
      <c r="L61" s="245">
        <v>0</v>
      </c>
      <c r="M61" s="245">
        <v>0</v>
      </c>
      <c r="N61" s="248">
        <v>0</v>
      </c>
      <c r="O61" s="244">
        <v>0</v>
      </c>
      <c r="P61" s="260">
        <v>0</v>
      </c>
    </row>
    <row r="62" spans="2:16" ht="15.75" thickBot="1">
      <c r="B62" s="261" t="s">
        <v>353</v>
      </c>
      <c r="C62" s="249" t="s">
        <v>354</v>
      </c>
      <c r="D62" s="176">
        <f t="shared" si="22"/>
        <v>0</v>
      </c>
      <c r="E62" s="262">
        <v>0</v>
      </c>
      <c r="F62" s="215">
        <f t="shared" si="24"/>
        <v>0</v>
      </c>
      <c r="G62" s="263">
        <v>0</v>
      </c>
      <c r="H62" s="264">
        <v>0</v>
      </c>
      <c r="I62" s="265">
        <v>0</v>
      </c>
      <c r="J62" s="215">
        <f t="shared" si="30"/>
        <v>0</v>
      </c>
      <c r="K62" s="263">
        <v>0</v>
      </c>
      <c r="L62" s="264">
        <v>0</v>
      </c>
      <c r="M62" s="264">
        <v>0</v>
      </c>
      <c r="N62" s="266">
        <v>0</v>
      </c>
      <c r="O62" s="262">
        <v>0</v>
      </c>
      <c r="P62" s="267">
        <v>0</v>
      </c>
    </row>
    <row r="63" spans="2:16">
      <c r="B63" s="149" t="s">
        <v>355</v>
      </c>
      <c r="C63" s="238" t="s">
        <v>356</v>
      </c>
      <c r="D63" s="151">
        <f t="shared" si="22"/>
        <v>0</v>
      </c>
      <c r="E63" s="152">
        <f>E64+E65</f>
        <v>0</v>
      </c>
      <c r="F63" s="153">
        <f t="shared" si="24"/>
        <v>0</v>
      </c>
      <c r="G63" s="154">
        <f>G64+G65</f>
        <v>0</v>
      </c>
      <c r="H63" s="155">
        <f>H64+H65</f>
        <v>0</v>
      </c>
      <c r="I63" s="156">
        <f>I64+I65</f>
        <v>0</v>
      </c>
      <c r="J63" s="153">
        <f t="shared" si="30"/>
        <v>0</v>
      </c>
      <c r="K63" s="154">
        <f t="shared" ref="K63:P63" si="32">K64+K65</f>
        <v>0</v>
      </c>
      <c r="L63" s="155">
        <f t="shared" si="32"/>
        <v>0</v>
      </c>
      <c r="M63" s="155">
        <f t="shared" si="32"/>
        <v>0</v>
      </c>
      <c r="N63" s="151">
        <f t="shared" si="32"/>
        <v>0</v>
      </c>
      <c r="O63" s="152">
        <f t="shared" si="32"/>
        <v>0</v>
      </c>
      <c r="P63" s="153">
        <f t="shared" si="32"/>
        <v>0</v>
      </c>
    </row>
    <row r="64" spans="2:16">
      <c r="B64" s="258" t="s">
        <v>357</v>
      </c>
      <c r="C64" s="259" t="s">
        <v>358</v>
      </c>
      <c r="D64" s="168">
        <f t="shared" si="22"/>
        <v>0</v>
      </c>
      <c r="E64" s="268">
        <v>0</v>
      </c>
      <c r="F64" s="170">
        <f t="shared" si="24"/>
        <v>0</v>
      </c>
      <c r="G64" s="269">
        <v>0</v>
      </c>
      <c r="H64" s="270">
        <v>0</v>
      </c>
      <c r="I64" s="271">
        <v>0</v>
      </c>
      <c r="J64" s="170">
        <f t="shared" si="30"/>
        <v>0</v>
      </c>
      <c r="K64" s="269">
        <v>0</v>
      </c>
      <c r="L64" s="270">
        <v>0</v>
      </c>
      <c r="M64" s="270">
        <v>0</v>
      </c>
      <c r="N64" s="272">
        <v>0</v>
      </c>
      <c r="O64" s="268">
        <v>0</v>
      </c>
      <c r="P64" s="273">
        <v>0</v>
      </c>
    </row>
    <row r="65" spans="2:16" ht="15.75" thickBot="1">
      <c r="B65" s="261" t="s">
        <v>359</v>
      </c>
      <c r="C65" s="249" t="s">
        <v>360</v>
      </c>
      <c r="D65" s="176">
        <f t="shared" si="22"/>
        <v>0</v>
      </c>
      <c r="E65" s="274">
        <v>0</v>
      </c>
      <c r="F65" s="178">
        <f t="shared" si="24"/>
        <v>0</v>
      </c>
      <c r="G65" s="275">
        <v>0</v>
      </c>
      <c r="H65" s="276">
        <v>0</v>
      </c>
      <c r="I65" s="277">
        <v>0</v>
      </c>
      <c r="J65" s="178">
        <f t="shared" si="30"/>
        <v>0</v>
      </c>
      <c r="K65" s="275">
        <v>0</v>
      </c>
      <c r="L65" s="276">
        <v>0</v>
      </c>
      <c r="M65" s="276">
        <v>0</v>
      </c>
      <c r="N65" s="278">
        <v>0</v>
      </c>
      <c r="O65" s="274">
        <v>0</v>
      </c>
      <c r="P65" s="279">
        <v>0</v>
      </c>
    </row>
    <row r="66" spans="2:16">
      <c r="B66" s="149" t="s">
        <v>361</v>
      </c>
      <c r="C66" s="238" t="s">
        <v>362</v>
      </c>
      <c r="D66" s="151">
        <f t="shared" ref="D66:D82" si="33">E66+F66+J66+N66+O66+P66</f>
        <v>14.07</v>
      </c>
      <c r="E66" s="152">
        <f>SUM(E67:E80)</f>
        <v>8.74</v>
      </c>
      <c r="F66" s="153">
        <f t="shared" si="24"/>
        <v>0</v>
      </c>
      <c r="G66" s="154">
        <f>SUM(G67:G80)</f>
        <v>0</v>
      </c>
      <c r="H66" s="155">
        <f>SUM(H67:H80)</f>
        <v>0</v>
      </c>
      <c r="I66" s="156">
        <f>SUM(I67:I80)</f>
        <v>0</v>
      </c>
      <c r="J66" s="153">
        <f t="shared" si="30"/>
        <v>0</v>
      </c>
      <c r="K66" s="154">
        <f t="shared" ref="K66:P66" si="34">SUM(K67:K80)</f>
        <v>0</v>
      </c>
      <c r="L66" s="155">
        <f t="shared" si="34"/>
        <v>0</v>
      </c>
      <c r="M66" s="155">
        <f t="shared" si="34"/>
        <v>0</v>
      </c>
      <c r="N66" s="151">
        <f t="shared" si="34"/>
        <v>0</v>
      </c>
      <c r="O66" s="152">
        <f t="shared" si="34"/>
        <v>0</v>
      </c>
      <c r="P66" s="153">
        <f t="shared" si="34"/>
        <v>5.33</v>
      </c>
    </row>
    <row r="67" spans="2:16">
      <c r="B67" s="258" t="s">
        <v>363</v>
      </c>
      <c r="C67" s="259" t="s">
        <v>364</v>
      </c>
      <c r="D67" s="168">
        <f t="shared" si="33"/>
        <v>0</v>
      </c>
      <c r="E67" s="280">
        <v>0</v>
      </c>
      <c r="F67" s="170">
        <f t="shared" ref="F67:F97" si="35">SUM(G67:I67)</f>
        <v>0</v>
      </c>
      <c r="G67" s="269">
        <v>0</v>
      </c>
      <c r="H67" s="270">
        <v>0</v>
      </c>
      <c r="I67" s="271">
        <v>0</v>
      </c>
      <c r="J67" s="170">
        <f t="shared" si="30"/>
        <v>0</v>
      </c>
      <c r="K67" s="269">
        <v>0</v>
      </c>
      <c r="L67" s="270">
        <v>0</v>
      </c>
      <c r="M67" s="270">
        <v>0</v>
      </c>
      <c r="N67" s="272">
        <v>0</v>
      </c>
      <c r="O67" s="268">
        <v>0</v>
      </c>
      <c r="P67" s="273">
        <v>0</v>
      </c>
    </row>
    <row r="68" spans="2:16">
      <c r="B68" s="258" t="s">
        <v>365</v>
      </c>
      <c r="C68" s="259" t="s">
        <v>366</v>
      </c>
      <c r="D68" s="168">
        <f t="shared" si="33"/>
        <v>0</v>
      </c>
      <c r="E68" s="280">
        <v>0</v>
      </c>
      <c r="F68" s="170">
        <f t="shared" si="35"/>
        <v>0</v>
      </c>
      <c r="G68" s="269">
        <v>0</v>
      </c>
      <c r="H68" s="270">
        <v>0</v>
      </c>
      <c r="I68" s="271">
        <v>0</v>
      </c>
      <c r="J68" s="170">
        <f t="shared" si="30"/>
        <v>0</v>
      </c>
      <c r="K68" s="269">
        <v>0</v>
      </c>
      <c r="L68" s="270">
        <v>0</v>
      </c>
      <c r="M68" s="270">
        <v>0</v>
      </c>
      <c r="N68" s="272">
        <v>0</v>
      </c>
      <c r="O68" s="268">
        <v>0</v>
      </c>
      <c r="P68" s="273">
        <v>0</v>
      </c>
    </row>
    <row r="69" spans="2:16">
      <c r="B69" s="258" t="s">
        <v>367</v>
      </c>
      <c r="C69" s="259" t="s">
        <v>368</v>
      </c>
      <c r="D69" s="168">
        <f t="shared" si="33"/>
        <v>0</v>
      </c>
      <c r="E69" s="280">
        <v>0</v>
      </c>
      <c r="F69" s="170">
        <f t="shared" si="35"/>
        <v>0</v>
      </c>
      <c r="G69" s="269">
        <v>0</v>
      </c>
      <c r="H69" s="270">
        <v>0</v>
      </c>
      <c r="I69" s="271">
        <v>0</v>
      </c>
      <c r="J69" s="170">
        <f t="shared" si="30"/>
        <v>0</v>
      </c>
      <c r="K69" s="269">
        <v>0</v>
      </c>
      <c r="L69" s="270">
        <v>0</v>
      </c>
      <c r="M69" s="270">
        <v>0</v>
      </c>
      <c r="N69" s="272">
        <v>0</v>
      </c>
      <c r="O69" s="268">
        <v>0</v>
      </c>
      <c r="P69" s="273">
        <v>0</v>
      </c>
    </row>
    <row r="70" spans="2:16">
      <c r="B70" s="258" t="s">
        <v>369</v>
      </c>
      <c r="C70" s="259" t="s">
        <v>370</v>
      </c>
      <c r="D70" s="168">
        <f t="shared" si="33"/>
        <v>0</v>
      </c>
      <c r="E70" s="280">
        <v>0</v>
      </c>
      <c r="F70" s="170">
        <f t="shared" si="35"/>
        <v>0</v>
      </c>
      <c r="G70" s="269">
        <v>0</v>
      </c>
      <c r="H70" s="270">
        <v>0</v>
      </c>
      <c r="I70" s="271">
        <v>0</v>
      </c>
      <c r="J70" s="170">
        <f t="shared" si="30"/>
        <v>0</v>
      </c>
      <c r="K70" s="269">
        <v>0</v>
      </c>
      <c r="L70" s="270">
        <v>0</v>
      </c>
      <c r="M70" s="270">
        <v>0</v>
      </c>
      <c r="N70" s="272">
        <v>0</v>
      </c>
      <c r="O70" s="268">
        <v>0</v>
      </c>
      <c r="P70" s="273">
        <v>0</v>
      </c>
    </row>
    <row r="71" spans="2:16">
      <c r="B71" s="258" t="s">
        <v>371</v>
      </c>
      <c r="C71" s="259" t="s">
        <v>372</v>
      </c>
      <c r="D71" s="168">
        <f t="shared" si="33"/>
        <v>0</v>
      </c>
      <c r="E71" s="280">
        <v>0</v>
      </c>
      <c r="F71" s="170">
        <f t="shared" si="35"/>
        <v>0</v>
      </c>
      <c r="G71" s="269">
        <v>0</v>
      </c>
      <c r="H71" s="270">
        <v>0</v>
      </c>
      <c r="I71" s="271">
        <v>0</v>
      </c>
      <c r="J71" s="170">
        <f t="shared" si="30"/>
        <v>0</v>
      </c>
      <c r="K71" s="269">
        <v>0</v>
      </c>
      <c r="L71" s="270">
        <v>0</v>
      </c>
      <c r="M71" s="270">
        <v>0</v>
      </c>
      <c r="N71" s="272">
        <v>0</v>
      </c>
      <c r="O71" s="268">
        <v>0</v>
      </c>
      <c r="P71" s="273">
        <v>0</v>
      </c>
    </row>
    <row r="72" spans="2:16">
      <c r="B72" s="258" t="s">
        <v>373</v>
      </c>
      <c r="C72" s="259" t="s">
        <v>374</v>
      </c>
      <c r="D72" s="168">
        <f t="shared" si="33"/>
        <v>0</v>
      </c>
      <c r="E72" s="280">
        <v>0</v>
      </c>
      <c r="F72" s="170">
        <f t="shared" si="35"/>
        <v>0</v>
      </c>
      <c r="G72" s="269">
        <v>0</v>
      </c>
      <c r="H72" s="270">
        <v>0</v>
      </c>
      <c r="I72" s="271">
        <v>0</v>
      </c>
      <c r="J72" s="170">
        <f t="shared" si="30"/>
        <v>0</v>
      </c>
      <c r="K72" s="269">
        <v>0</v>
      </c>
      <c r="L72" s="270">
        <v>0</v>
      </c>
      <c r="M72" s="270">
        <v>0</v>
      </c>
      <c r="N72" s="272">
        <v>0</v>
      </c>
      <c r="O72" s="268">
        <v>0</v>
      </c>
      <c r="P72" s="273">
        <v>0</v>
      </c>
    </row>
    <row r="73" spans="2:16">
      <c r="B73" s="258" t="s">
        <v>375</v>
      </c>
      <c r="C73" s="259" t="s">
        <v>376</v>
      </c>
      <c r="D73" s="168">
        <f t="shared" si="33"/>
        <v>4.9000000000000004</v>
      </c>
      <c r="E73" s="280">
        <v>4.9000000000000004</v>
      </c>
      <c r="F73" s="170">
        <f t="shared" si="35"/>
        <v>0</v>
      </c>
      <c r="G73" s="269">
        <v>0</v>
      </c>
      <c r="H73" s="270">
        <v>0</v>
      </c>
      <c r="I73" s="271">
        <v>0</v>
      </c>
      <c r="J73" s="170">
        <f t="shared" si="30"/>
        <v>0</v>
      </c>
      <c r="K73" s="269">
        <v>0</v>
      </c>
      <c r="L73" s="270">
        <v>0</v>
      </c>
      <c r="M73" s="270">
        <v>0</v>
      </c>
      <c r="N73" s="272">
        <v>0</v>
      </c>
      <c r="O73" s="268">
        <v>0</v>
      </c>
      <c r="P73" s="273">
        <v>0</v>
      </c>
    </row>
    <row r="74" spans="2:16">
      <c r="B74" s="258" t="s">
        <v>377</v>
      </c>
      <c r="C74" s="259" t="s">
        <v>378</v>
      </c>
      <c r="D74" s="168">
        <f t="shared" si="33"/>
        <v>0</v>
      </c>
      <c r="E74" s="280">
        <v>0</v>
      </c>
      <c r="F74" s="170">
        <f t="shared" si="35"/>
        <v>0</v>
      </c>
      <c r="G74" s="269">
        <v>0</v>
      </c>
      <c r="H74" s="270">
        <v>0</v>
      </c>
      <c r="I74" s="271">
        <v>0</v>
      </c>
      <c r="J74" s="170">
        <f t="shared" si="30"/>
        <v>0</v>
      </c>
      <c r="K74" s="269">
        <v>0</v>
      </c>
      <c r="L74" s="270">
        <v>0</v>
      </c>
      <c r="M74" s="270">
        <v>0</v>
      </c>
      <c r="N74" s="272">
        <v>0</v>
      </c>
      <c r="O74" s="268">
        <v>0</v>
      </c>
      <c r="P74" s="273">
        <v>0</v>
      </c>
    </row>
    <row r="75" spans="2:16">
      <c r="B75" s="258" t="s">
        <v>379</v>
      </c>
      <c r="C75" s="259" t="s">
        <v>380</v>
      </c>
      <c r="D75" s="168">
        <f t="shared" si="33"/>
        <v>5.33</v>
      </c>
      <c r="E75" s="280">
        <v>0</v>
      </c>
      <c r="F75" s="170">
        <f t="shared" si="35"/>
        <v>0</v>
      </c>
      <c r="G75" s="269">
        <v>0</v>
      </c>
      <c r="H75" s="270">
        <v>0</v>
      </c>
      <c r="I75" s="271">
        <v>0</v>
      </c>
      <c r="J75" s="170">
        <f t="shared" si="30"/>
        <v>0</v>
      </c>
      <c r="K75" s="269">
        <v>0</v>
      </c>
      <c r="L75" s="270">
        <v>0</v>
      </c>
      <c r="M75" s="270">
        <v>0</v>
      </c>
      <c r="N75" s="272">
        <v>0</v>
      </c>
      <c r="O75" s="268">
        <v>0</v>
      </c>
      <c r="P75" s="273">
        <v>5.33</v>
      </c>
    </row>
    <row r="76" spans="2:16">
      <c r="B76" s="258" t="s">
        <v>381</v>
      </c>
      <c r="C76" s="259" t="s">
        <v>382</v>
      </c>
      <c r="D76" s="168">
        <f t="shared" si="33"/>
        <v>0</v>
      </c>
      <c r="E76" s="280">
        <v>0</v>
      </c>
      <c r="F76" s="170">
        <f t="shared" si="35"/>
        <v>0</v>
      </c>
      <c r="G76" s="269">
        <v>0</v>
      </c>
      <c r="H76" s="270">
        <v>0</v>
      </c>
      <c r="I76" s="271">
        <v>0</v>
      </c>
      <c r="J76" s="170">
        <f t="shared" si="30"/>
        <v>0</v>
      </c>
      <c r="K76" s="269">
        <v>0</v>
      </c>
      <c r="L76" s="270">
        <v>0</v>
      </c>
      <c r="M76" s="270">
        <v>0</v>
      </c>
      <c r="N76" s="272">
        <v>0</v>
      </c>
      <c r="O76" s="268">
        <v>0</v>
      </c>
      <c r="P76" s="273">
        <v>0</v>
      </c>
    </row>
    <row r="77" spans="2:16">
      <c r="B77" s="258" t="s">
        <v>383</v>
      </c>
      <c r="C77" s="259" t="s">
        <v>384</v>
      </c>
      <c r="D77" s="168">
        <f t="shared" si="33"/>
        <v>0</v>
      </c>
      <c r="E77" s="280">
        <v>0</v>
      </c>
      <c r="F77" s="170">
        <f t="shared" si="35"/>
        <v>0</v>
      </c>
      <c r="G77" s="269">
        <v>0</v>
      </c>
      <c r="H77" s="270">
        <v>0</v>
      </c>
      <c r="I77" s="271">
        <v>0</v>
      </c>
      <c r="J77" s="170">
        <f t="shared" si="30"/>
        <v>0</v>
      </c>
      <c r="K77" s="269">
        <v>0</v>
      </c>
      <c r="L77" s="270">
        <v>0</v>
      </c>
      <c r="M77" s="270">
        <v>0</v>
      </c>
      <c r="N77" s="272">
        <v>0</v>
      </c>
      <c r="O77" s="268">
        <v>0</v>
      </c>
      <c r="P77" s="273">
        <v>0</v>
      </c>
    </row>
    <row r="78" spans="2:16">
      <c r="B78" s="258" t="s">
        <v>385</v>
      </c>
      <c r="C78" s="259" t="s">
        <v>386</v>
      </c>
      <c r="D78" s="168">
        <f t="shared" si="33"/>
        <v>0</v>
      </c>
      <c r="E78" s="280">
        <v>0</v>
      </c>
      <c r="F78" s="170">
        <f t="shared" si="35"/>
        <v>0</v>
      </c>
      <c r="G78" s="269">
        <v>0</v>
      </c>
      <c r="H78" s="270">
        <v>0</v>
      </c>
      <c r="I78" s="271">
        <v>0</v>
      </c>
      <c r="J78" s="170">
        <f t="shared" si="30"/>
        <v>0</v>
      </c>
      <c r="K78" s="269">
        <v>0</v>
      </c>
      <c r="L78" s="270">
        <v>0</v>
      </c>
      <c r="M78" s="270">
        <v>0</v>
      </c>
      <c r="N78" s="272">
        <v>0</v>
      </c>
      <c r="O78" s="268">
        <v>0</v>
      </c>
      <c r="P78" s="273">
        <v>0</v>
      </c>
    </row>
    <row r="79" spans="2:16">
      <c r="B79" s="258" t="s">
        <v>387</v>
      </c>
      <c r="C79" s="259" t="s">
        <v>388</v>
      </c>
      <c r="D79" s="168">
        <f t="shared" si="33"/>
        <v>3.84</v>
      </c>
      <c r="E79" s="280">
        <v>3.84</v>
      </c>
      <c r="F79" s="170">
        <f t="shared" si="35"/>
        <v>0</v>
      </c>
      <c r="G79" s="269">
        <v>0</v>
      </c>
      <c r="H79" s="270">
        <v>0</v>
      </c>
      <c r="I79" s="271">
        <v>0</v>
      </c>
      <c r="J79" s="170">
        <f t="shared" si="30"/>
        <v>0</v>
      </c>
      <c r="K79" s="269">
        <v>0</v>
      </c>
      <c r="L79" s="270">
        <v>0</v>
      </c>
      <c r="M79" s="270">
        <v>0</v>
      </c>
      <c r="N79" s="272">
        <v>0</v>
      </c>
      <c r="O79" s="268">
        <v>0</v>
      </c>
      <c r="P79" s="273">
        <v>0</v>
      </c>
    </row>
    <row r="80" spans="2:16" ht="15.75" thickBot="1">
      <c r="B80" s="281" t="s">
        <v>389</v>
      </c>
      <c r="C80" s="282" t="s">
        <v>390</v>
      </c>
      <c r="D80" s="283">
        <f t="shared" si="33"/>
        <v>0</v>
      </c>
      <c r="E80" s="284">
        <v>0</v>
      </c>
      <c r="F80" s="285">
        <f t="shared" si="35"/>
        <v>0</v>
      </c>
      <c r="G80" s="286">
        <v>0</v>
      </c>
      <c r="H80" s="287">
        <v>0</v>
      </c>
      <c r="I80" s="288">
        <v>0</v>
      </c>
      <c r="J80" s="285">
        <f t="shared" si="30"/>
        <v>0</v>
      </c>
      <c r="K80" s="286">
        <v>0</v>
      </c>
      <c r="L80" s="287">
        <v>0</v>
      </c>
      <c r="M80" s="287">
        <v>0</v>
      </c>
      <c r="N80" s="289">
        <v>0</v>
      </c>
      <c r="O80" s="290">
        <v>0</v>
      </c>
      <c r="P80" s="291">
        <v>0</v>
      </c>
    </row>
    <row r="81" spans="1:19" ht="15.75" thickBot="1">
      <c r="B81" s="292" t="s">
        <v>391</v>
      </c>
      <c r="C81" s="293" t="s">
        <v>392</v>
      </c>
      <c r="D81" s="294">
        <f t="shared" si="33"/>
        <v>0</v>
      </c>
      <c r="E81" s="295">
        <v>0</v>
      </c>
      <c r="F81" s="296">
        <f t="shared" si="35"/>
        <v>0</v>
      </c>
      <c r="G81" s="297">
        <v>0</v>
      </c>
      <c r="H81" s="298">
        <v>0</v>
      </c>
      <c r="I81" s="299">
        <v>0</v>
      </c>
      <c r="J81" s="296">
        <f t="shared" si="30"/>
        <v>0</v>
      </c>
      <c r="K81" s="297">
        <v>0</v>
      </c>
      <c r="L81" s="298">
        <v>0</v>
      </c>
      <c r="M81" s="298">
        <v>0</v>
      </c>
      <c r="N81" s="300">
        <v>0</v>
      </c>
      <c r="O81" s="295">
        <v>0</v>
      </c>
      <c r="P81" s="301">
        <v>0</v>
      </c>
    </row>
    <row r="82" spans="1:19">
      <c r="A82" s="302"/>
      <c r="B82" s="149" t="s">
        <v>393</v>
      </c>
      <c r="C82" s="203" t="s">
        <v>394</v>
      </c>
      <c r="D82" s="151">
        <f t="shared" si="33"/>
        <v>74.47999999999999</v>
      </c>
      <c r="E82" s="152">
        <f>SUM(E83:E89)</f>
        <v>5.43</v>
      </c>
      <c r="F82" s="153">
        <f t="shared" si="35"/>
        <v>22.11</v>
      </c>
      <c r="G82" s="154">
        <f>SUM(G83:G89)</f>
        <v>2.37</v>
      </c>
      <c r="H82" s="155">
        <f>SUM(H83:H89)</f>
        <v>4.4000000000000004</v>
      </c>
      <c r="I82" s="156">
        <f>SUM(I83:I89)</f>
        <v>15.34</v>
      </c>
      <c r="J82" s="153">
        <f t="shared" si="30"/>
        <v>13.43</v>
      </c>
      <c r="K82" s="154">
        <f t="shared" ref="K82:P82" si="36">SUM(K83:K89)</f>
        <v>4.88</v>
      </c>
      <c r="L82" s="155">
        <f t="shared" si="36"/>
        <v>8.5500000000000007</v>
      </c>
      <c r="M82" s="155">
        <f t="shared" si="36"/>
        <v>0</v>
      </c>
      <c r="N82" s="151">
        <f t="shared" si="36"/>
        <v>0</v>
      </c>
      <c r="O82" s="152">
        <f t="shared" si="36"/>
        <v>0</v>
      </c>
      <c r="P82" s="153">
        <f t="shared" si="36"/>
        <v>33.51</v>
      </c>
    </row>
    <row r="83" spans="1:19">
      <c r="A83" s="302"/>
      <c r="B83" s="303" t="s">
        <v>395</v>
      </c>
      <c r="C83" s="304" t="s">
        <v>396</v>
      </c>
      <c r="D83" s="305">
        <f>E83+F83+J83+N83+O83+P83</f>
        <v>0.01</v>
      </c>
      <c r="E83" s="306">
        <v>0</v>
      </c>
      <c r="F83" s="307">
        <f t="shared" si="35"/>
        <v>0</v>
      </c>
      <c r="G83" s="308">
        <v>0</v>
      </c>
      <c r="H83" s="309">
        <v>0</v>
      </c>
      <c r="I83" s="310">
        <v>0</v>
      </c>
      <c r="J83" s="307">
        <f t="shared" si="30"/>
        <v>0.01</v>
      </c>
      <c r="K83" s="308">
        <v>0.01</v>
      </c>
      <c r="L83" s="309">
        <v>0</v>
      </c>
      <c r="M83" s="309">
        <v>0</v>
      </c>
      <c r="N83" s="311">
        <v>0</v>
      </c>
      <c r="O83" s="306">
        <v>0</v>
      </c>
      <c r="P83" s="312">
        <v>0</v>
      </c>
    </row>
    <row r="84" spans="1:19">
      <c r="A84" s="302"/>
      <c r="B84" s="303" t="s">
        <v>397</v>
      </c>
      <c r="C84" s="304" t="s">
        <v>398</v>
      </c>
      <c r="D84" s="305">
        <f t="shared" ref="D84:D89" si="37">E84+F84+J84+N84+O84+P84</f>
        <v>0</v>
      </c>
      <c r="E84" s="306">
        <v>0</v>
      </c>
      <c r="F84" s="307">
        <f t="shared" si="35"/>
        <v>0</v>
      </c>
      <c r="G84" s="308">
        <v>0</v>
      </c>
      <c r="H84" s="309">
        <v>0</v>
      </c>
      <c r="I84" s="310">
        <v>0</v>
      </c>
      <c r="J84" s="307">
        <f t="shared" si="30"/>
        <v>0</v>
      </c>
      <c r="K84" s="308">
        <v>0</v>
      </c>
      <c r="L84" s="309">
        <v>0</v>
      </c>
      <c r="M84" s="309">
        <v>0</v>
      </c>
      <c r="N84" s="311">
        <v>0</v>
      </c>
      <c r="O84" s="306">
        <v>0</v>
      </c>
      <c r="P84" s="312">
        <v>0</v>
      </c>
    </row>
    <row r="85" spans="1:19">
      <c r="A85" s="302"/>
      <c r="B85" s="313" t="s">
        <v>399</v>
      </c>
      <c r="C85" s="314" t="s">
        <v>400</v>
      </c>
      <c r="D85" s="305">
        <f t="shared" si="37"/>
        <v>20.66</v>
      </c>
      <c r="E85" s="239">
        <v>0</v>
      </c>
      <c r="F85" s="205">
        <f t="shared" si="35"/>
        <v>12.59</v>
      </c>
      <c r="G85" s="308">
        <v>0</v>
      </c>
      <c r="H85" s="309">
        <v>0</v>
      </c>
      <c r="I85" s="310">
        <v>12.59</v>
      </c>
      <c r="J85" s="205">
        <f t="shared" si="30"/>
        <v>8.07</v>
      </c>
      <c r="K85" s="308">
        <v>0</v>
      </c>
      <c r="L85" s="309">
        <v>8.07</v>
      </c>
      <c r="M85" s="309">
        <v>0</v>
      </c>
      <c r="N85" s="311">
        <v>0</v>
      </c>
      <c r="O85" s="306">
        <v>0</v>
      </c>
      <c r="P85" s="312">
        <v>0</v>
      </c>
    </row>
    <row r="86" spans="1:19">
      <c r="A86" s="302"/>
      <c r="B86" s="315" t="s">
        <v>401</v>
      </c>
      <c r="C86" s="316" t="s">
        <v>402</v>
      </c>
      <c r="D86" s="305">
        <f t="shared" si="37"/>
        <v>16.049999999999997</v>
      </c>
      <c r="E86" s="317">
        <v>0</v>
      </c>
      <c r="F86" s="215">
        <f t="shared" si="35"/>
        <v>4.6899999999999995</v>
      </c>
      <c r="G86" s="308">
        <v>1.94</v>
      </c>
      <c r="H86" s="309">
        <v>0</v>
      </c>
      <c r="I86" s="310">
        <v>2.75</v>
      </c>
      <c r="J86" s="215">
        <f t="shared" si="30"/>
        <v>5.35</v>
      </c>
      <c r="K86" s="308">
        <v>4.87</v>
      </c>
      <c r="L86" s="309">
        <v>0.48</v>
      </c>
      <c r="M86" s="309">
        <v>0</v>
      </c>
      <c r="N86" s="311">
        <v>0</v>
      </c>
      <c r="O86" s="306">
        <v>0</v>
      </c>
      <c r="P86" s="312">
        <v>6.01</v>
      </c>
    </row>
    <row r="87" spans="1:19">
      <c r="A87" s="302"/>
      <c r="B87" s="315" t="s">
        <v>403</v>
      </c>
      <c r="C87" s="212" t="s">
        <v>404</v>
      </c>
      <c r="D87" s="305">
        <f t="shared" si="37"/>
        <v>0</v>
      </c>
      <c r="E87" s="317">
        <v>0</v>
      </c>
      <c r="F87" s="215">
        <f t="shared" si="35"/>
        <v>0</v>
      </c>
      <c r="G87" s="308">
        <v>0</v>
      </c>
      <c r="H87" s="309">
        <v>0</v>
      </c>
      <c r="I87" s="310">
        <v>0</v>
      </c>
      <c r="J87" s="215">
        <f t="shared" si="30"/>
        <v>0</v>
      </c>
      <c r="K87" s="308">
        <v>0</v>
      </c>
      <c r="L87" s="309">
        <v>0</v>
      </c>
      <c r="M87" s="309">
        <v>0</v>
      </c>
      <c r="N87" s="311">
        <v>0</v>
      </c>
      <c r="O87" s="306">
        <v>0</v>
      </c>
      <c r="P87" s="312">
        <v>0</v>
      </c>
    </row>
    <row r="88" spans="1:19">
      <c r="A88" s="302"/>
      <c r="B88" s="315" t="s">
        <v>405</v>
      </c>
      <c r="C88" s="212" t="s">
        <v>406</v>
      </c>
      <c r="D88" s="305">
        <f t="shared" si="37"/>
        <v>5.43</v>
      </c>
      <c r="E88" s="317">
        <v>5.43</v>
      </c>
      <c r="F88" s="215">
        <f t="shared" si="35"/>
        <v>0</v>
      </c>
      <c r="G88" s="308">
        <v>0</v>
      </c>
      <c r="H88" s="309">
        <v>0</v>
      </c>
      <c r="I88" s="310">
        <v>0</v>
      </c>
      <c r="J88" s="215">
        <f t="shared" si="30"/>
        <v>0</v>
      </c>
      <c r="K88" s="308">
        <v>0</v>
      </c>
      <c r="L88" s="309">
        <v>0</v>
      </c>
      <c r="M88" s="309">
        <v>0</v>
      </c>
      <c r="N88" s="311">
        <v>0</v>
      </c>
      <c r="O88" s="306">
        <v>0</v>
      </c>
      <c r="P88" s="312">
        <v>0</v>
      </c>
    </row>
    <row r="89" spans="1:19" ht="15.75" thickBot="1">
      <c r="A89" s="302"/>
      <c r="B89" s="315" t="s">
        <v>407</v>
      </c>
      <c r="C89" s="212" t="s">
        <v>408</v>
      </c>
      <c r="D89" s="305">
        <f t="shared" si="37"/>
        <v>32.33</v>
      </c>
      <c r="E89" s="317">
        <v>0</v>
      </c>
      <c r="F89" s="215">
        <f t="shared" si="35"/>
        <v>4.83</v>
      </c>
      <c r="G89" s="318">
        <v>0.43</v>
      </c>
      <c r="H89" s="319">
        <v>4.4000000000000004</v>
      </c>
      <c r="I89" s="320">
        <v>0</v>
      </c>
      <c r="J89" s="215">
        <f t="shared" ref="J89:J120" si="38">SUM(K89:M89)</f>
        <v>0</v>
      </c>
      <c r="K89" s="318">
        <v>0</v>
      </c>
      <c r="L89" s="319">
        <v>0</v>
      </c>
      <c r="M89" s="319">
        <v>0</v>
      </c>
      <c r="N89" s="321">
        <v>0</v>
      </c>
      <c r="O89" s="317">
        <v>0</v>
      </c>
      <c r="P89" s="322">
        <v>27.5</v>
      </c>
    </row>
    <row r="90" spans="1:19" ht="42" customHeight="1" thickTop="1" thickBot="1">
      <c r="A90" s="302"/>
      <c r="B90" s="133" t="s">
        <v>59</v>
      </c>
      <c r="C90" s="134" t="s">
        <v>409</v>
      </c>
      <c r="D90" s="323">
        <f>D91+D94+D97+D99+D105+D106+D111+D115+D118+D133+D134</f>
        <v>233.77</v>
      </c>
      <c r="E90" s="227">
        <f>E91+E94+E97+E99+E105+E106+E111+E115+E118+E133+E134</f>
        <v>27.3636895</v>
      </c>
      <c r="F90" s="133">
        <f t="shared" si="35"/>
        <v>65.400742000000008</v>
      </c>
      <c r="G90" s="228">
        <f>G91+G94+G97+G99+G105+G106+G111+G115+G118+G133+G134</f>
        <v>27.477611499999998</v>
      </c>
      <c r="H90" s="229">
        <f>H91+H94+H97+H99+H105+H106+H111+H115+H118+H133+H134</f>
        <v>1.8178605000000001</v>
      </c>
      <c r="I90" s="230">
        <f>I91+I94+I97+I99+I105+I106+I111+I115+I118+I133+I134</f>
        <v>36.105270000000004</v>
      </c>
      <c r="J90" s="133">
        <f t="shared" si="38"/>
        <v>89.017512000000011</v>
      </c>
      <c r="K90" s="228">
        <f t="shared" ref="K90:P90" si="39">K91+K94+K97+K99+K105+K106+K111+K115+K118+K133+K134</f>
        <v>45.393246000000005</v>
      </c>
      <c r="L90" s="229">
        <f t="shared" si="39"/>
        <v>30.318375999999997</v>
      </c>
      <c r="M90" s="229">
        <f t="shared" si="39"/>
        <v>13.305890000000003</v>
      </c>
      <c r="N90" s="226">
        <f t="shared" si="39"/>
        <v>0</v>
      </c>
      <c r="O90" s="227">
        <f t="shared" si="39"/>
        <v>0</v>
      </c>
      <c r="P90" s="133">
        <f t="shared" si="39"/>
        <v>51.98776800000001</v>
      </c>
      <c r="Q90" s="324"/>
      <c r="R90" s="325"/>
    </row>
    <row r="91" spans="1:19" ht="15.75" thickTop="1">
      <c r="B91" s="141" t="s">
        <v>150</v>
      </c>
      <c r="C91" s="326" t="s">
        <v>303</v>
      </c>
      <c r="D91" s="327">
        <f>D92+D93</f>
        <v>0.65</v>
      </c>
      <c r="E91" s="328">
        <f>E92+E93</f>
        <v>7.8675999999999996E-2</v>
      </c>
      <c r="F91" s="329">
        <f t="shared" si="35"/>
        <v>0.16394300000000001</v>
      </c>
      <c r="G91" s="330">
        <f>G92+G93</f>
        <v>8.0502500000000005E-2</v>
      </c>
      <c r="H91" s="331">
        <f>H92+H93</f>
        <v>3.1524999999999999E-3</v>
      </c>
      <c r="I91" s="332">
        <f>I92+I93</f>
        <v>8.0287999999999998E-2</v>
      </c>
      <c r="J91" s="329">
        <f t="shared" si="38"/>
        <v>0.24552450000000001</v>
      </c>
      <c r="K91" s="330">
        <f t="shared" ref="K91:P91" si="40">K92+K93</f>
        <v>0.11283350000000002</v>
      </c>
      <c r="L91" s="331">
        <f t="shared" si="40"/>
        <v>9.0629500000000002E-2</v>
      </c>
      <c r="M91" s="331">
        <f t="shared" si="40"/>
        <v>4.2061500000000002E-2</v>
      </c>
      <c r="N91" s="333">
        <f t="shared" si="40"/>
        <v>0</v>
      </c>
      <c r="O91" s="328">
        <f t="shared" si="40"/>
        <v>0</v>
      </c>
      <c r="P91" s="329">
        <f t="shared" si="40"/>
        <v>0.16185649999999999</v>
      </c>
      <c r="Q91" s="324"/>
      <c r="R91" s="325"/>
      <c r="S91" s="204"/>
    </row>
    <row r="92" spans="1:19" ht="32.25" customHeight="1">
      <c r="B92" s="166" t="s">
        <v>410</v>
      </c>
      <c r="C92" s="167" t="s">
        <v>272</v>
      </c>
      <c r="D92" s="334">
        <v>0</v>
      </c>
      <c r="E92" s="208">
        <f>IFERROR($D$92*E143/100, 0)</f>
        <v>0</v>
      </c>
      <c r="F92" s="205">
        <f t="shared" si="35"/>
        <v>0</v>
      </c>
      <c r="G92" s="209">
        <f>IFERROR($D$92*G143/100, 0)</f>
        <v>0</v>
      </c>
      <c r="H92" s="210">
        <f>IFERROR($D$92*H143/100, 0)</f>
        <v>0</v>
      </c>
      <c r="I92" s="211">
        <f>IFERROR($D$92*I143/100, 0)</f>
        <v>0</v>
      </c>
      <c r="J92" s="205">
        <f t="shared" si="38"/>
        <v>0</v>
      </c>
      <c r="K92" s="209">
        <f t="shared" ref="K92:P92" si="41">IFERROR($D$92*K143/100, 0)</f>
        <v>0</v>
      </c>
      <c r="L92" s="210">
        <f t="shared" si="41"/>
        <v>0</v>
      </c>
      <c r="M92" s="210">
        <f t="shared" si="41"/>
        <v>0</v>
      </c>
      <c r="N92" s="207">
        <f t="shared" si="41"/>
        <v>0</v>
      </c>
      <c r="O92" s="208">
        <f t="shared" si="41"/>
        <v>0</v>
      </c>
      <c r="P92" s="205">
        <f t="shared" si="41"/>
        <v>0</v>
      </c>
      <c r="Q92" s="335"/>
      <c r="R92" s="336"/>
    </row>
    <row r="93" spans="1:19" ht="27" customHeight="1" thickBot="1">
      <c r="B93" s="166" t="s">
        <v>411</v>
      </c>
      <c r="C93" s="167" t="s">
        <v>306</v>
      </c>
      <c r="D93" s="334">
        <v>0.65</v>
      </c>
      <c r="E93" s="208">
        <f>IFERROR($D$93*E144/100, 0)</f>
        <v>7.8675999999999996E-2</v>
      </c>
      <c r="F93" s="205">
        <f t="shared" si="35"/>
        <v>0.16394300000000001</v>
      </c>
      <c r="G93" s="209">
        <f>IFERROR($D$93*G144/100, 0)</f>
        <v>8.0502500000000005E-2</v>
      </c>
      <c r="H93" s="210">
        <f>IFERROR($D$93*H144/100, 0)</f>
        <v>3.1524999999999999E-3</v>
      </c>
      <c r="I93" s="211">
        <f>IFERROR($D$93*I144/100, 0)</f>
        <v>8.0287999999999998E-2</v>
      </c>
      <c r="J93" s="205">
        <f t="shared" si="38"/>
        <v>0.24552450000000001</v>
      </c>
      <c r="K93" s="209">
        <f t="shared" ref="K93:P93" si="42">IFERROR($D$93*K144/100, 0)</f>
        <v>0.11283350000000002</v>
      </c>
      <c r="L93" s="210">
        <f t="shared" si="42"/>
        <v>9.0629500000000002E-2</v>
      </c>
      <c r="M93" s="210">
        <f t="shared" si="42"/>
        <v>4.2061500000000002E-2</v>
      </c>
      <c r="N93" s="207">
        <f t="shared" si="42"/>
        <v>0</v>
      </c>
      <c r="O93" s="208">
        <f t="shared" si="42"/>
        <v>0</v>
      </c>
      <c r="P93" s="205">
        <f t="shared" si="42"/>
        <v>0.16185649999999999</v>
      </c>
      <c r="Q93" s="335"/>
      <c r="R93" s="336"/>
    </row>
    <row r="94" spans="1:19">
      <c r="B94" s="149" t="s">
        <v>152</v>
      </c>
      <c r="C94" s="238" t="s">
        <v>313</v>
      </c>
      <c r="D94" s="337">
        <f>D95+D96</f>
        <v>19.82</v>
      </c>
      <c r="E94" s="152">
        <f>E95+E96</f>
        <v>2.3990127999999999</v>
      </c>
      <c r="F94" s="153">
        <f t="shared" si="35"/>
        <v>4.9990003999999999</v>
      </c>
      <c r="G94" s="154">
        <f>G95+G96</f>
        <v>2.454707</v>
      </c>
      <c r="H94" s="155">
        <f>H95+H96</f>
        <v>9.6127000000000004E-2</v>
      </c>
      <c r="I94" s="156">
        <f>I95+I96</f>
        <v>2.4481663999999999</v>
      </c>
      <c r="J94" s="153">
        <f t="shared" si="38"/>
        <v>7.4866086000000003</v>
      </c>
      <c r="K94" s="154">
        <f t="shared" ref="K94:P94" si="43">K95+K96</f>
        <v>3.4405538</v>
      </c>
      <c r="L94" s="155">
        <f t="shared" si="43"/>
        <v>2.7635025999999998</v>
      </c>
      <c r="M94" s="155">
        <f t="shared" si="43"/>
        <v>1.2825522</v>
      </c>
      <c r="N94" s="151">
        <f t="shared" si="43"/>
        <v>0</v>
      </c>
      <c r="O94" s="152">
        <f t="shared" si="43"/>
        <v>0</v>
      </c>
      <c r="P94" s="153">
        <f t="shared" si="43"/>
        <v>4.9353781999999997</v>
      </c>
      <c r="Q94" s="324"/>
      <c r="R94" s="325"/>
    </row>
    <row r="95" spans="1:19" ht="29.25" customHeight="1">
      <c r="B95" s="166" t="s">
        <v>154</v>
      </c>
      <c r="C95" s="167" t="s">
        <v>315</v>
      </c>
      <c r="D95" s="334">
        <v>19.82</v>
      </c>
      <c r="E95" s="208">
        <f>IFERROR($D$95*E146/100, 0)</f>
        <v>2.3990127999999999</v>
      </c>
      <c r="F95" s="205">
        <f t="shared" si="35"/>
        <v>4.9990003999999999</v>
      </c>
      <c r="G95" s="209">
        <f>IFERROR($D$95*G146/100, 0)</f>
        <v>2.454707</v>
      </c>
      <c r="H95" s="210">
        <f>IFERROR($D$95*H146/100, 0)</f>
        <v>9.6127000000000004E-2</v>
      </c>
      <c r="I95" s="211">
        <f>IFERROR($D$95*I146/100, 0)</f>
        <v>2.4481663999999999</v>
      </c>
      <c r="J95" s="205">
        <f t="shared" si="38"/>
        <v>7.4866086000000003</v>
      </c>
      <c r="K95" s="209">
        <f t="shared" ref="K95:P95" si="44">IFERROR($D$95*K146/100, 0)</f>
        <v>3.4405538</v>
      </c>
      <c r="L95" s="210">
        <f t="shared" si="44"/>
        <v>2.7635025999999998</v>
      </c>
      <c r="M95" s="210">
        <f t="shared" si="44"/>
        <v>1.2825522</v>
      </c>
      <c r="N95" s="207">
        <f t="shared" si="44"/>
        <v>0</v>
      </c>
      <c r="O95" s="208">
        <f t="shared" si="44"/>
        <v>0</v>
      </c>
      <c r="P95" s="205">
        <f t="shared" si="44"/>
        <v>4.9353781999999997</v>
      </c>
      <c r="Q95" s="335"/>
      <c r="R95" s="336"/>
    </row>
    <row r="96" spans="1:19" ht="25.5" customHeight="1" thickBot="1">
      <c r="B96" s="166" t="s">
        <v>156</v>
      </c>
      <c r="C96" s="167" t="s">
        <v>317</v>
      </c>
      <c r="D96" s="334">
        <v>0</v>
      </c>
      <c r="E96" s="208">
        <f>IFERROR($D$96*E147/100, 0)</f>
        <v>0</v>
      </c>
      <c r="F96" s="205">
        <f t="shared" si="35"/>
        <v>0</v>
      </c>
      <c r="G96" s="209">
        <f>IFERROR($D$96*G147/100, 0)</f>
        <v>0</v>
      </c>
      <c r="H96" s="210">
        <f>IFERROR($D$96*H147/100, 0)</f>
        <v>0</v>
      </c>
      <c r="I96" s="211">
        <f>IFERROR($D$96*I147/100, 0)</f>
        <v>0</v>
      </c>
      <c r="J96" s="205">
        <f t="shared" si="38"/>
        <v>0</v>
      </c>
      <c r="K96" s="209">
        <f t="shared" ref="K96:P96" si="45">IFERROR($D$96*K147/100, 0)</f>
        <v>0</v>
      </c>
      <c r="L96" s="210">
        <f t="shared" si="45"/>
        <v>0</v>
      </c>
      <c r="M96" s="210">
        <f t="shared" si="45"/>
        <v>0</v>
      </c>
      <c r="N96" s="207">
        <f t="shared" si="45"/>
        <v>0</v>
      </c>
      <c r="O96" s="208">
        <f t="shared" si="45"/>
        <v>0</v>
      </c>
      <c r="P96" s="205">
        <f t="shared" si="45"/>
        <v>0</v>
      </c>
      <c r="Q96" s="335"/>
      <c r="R96" s="336"/>
    </row>
    <row r="97" spans="2:18">
      <c r="B97" s="149" t="s">
        <v>160</v>
      </c>
      <c r="C97" s="238" t="s">
        <v>319</v>
      </c>
      <c r="D97" s="337">
        <f>D98</f>
        <v>5.91</v>
      </c>
      <c r="E97" s="152">
        <f>E98</f>
        <v>0.71534639999999994</v>
      </c>
      <c r="F97" s="153">
        <f t="shared" si="35"/>
        <v>1.4906202</v>
      </c>
      <c r="G97" s="154">
        <f>G98</f>
        <v>0.73195350000000003</v>
      </c>
      <c r="H97" s="155">
        <f>H98</f>
        <v>2.8663500000000001E-2</v>
      </c>
      <c r="I97" s="156">
        <f>I98</f>
        <v>0.73000320000000007</v>
      </c>
      <c r="J97" s="153">
        <f t="shared" si="38"/>
        <v>2.2323843000000001</v>
      </c>
      <c r="K97" s="154">
        <f t="shared" ref="K97:P97" si="46">K98</f>
        <v>1.0259169000000001</v>
      </c>
      <c r="L97" s="155">
        <f t="shared" si="46"/>
        <v>0.82403130000000002</v>
      </c>
      <c r="M97" s="155">
        <f t="shared" si="46"/>
        <v>0.38243610000000006</v>
      </c>
      <c r="N97" s="151">
        <f t="shared" si="46"/>
        <v>0</v>
      </c>
      <c r="O97" s="152">
        <f t="shared" si="46"/>
        <v>0</v>
      </c>
      <c r="P97" s="153">
        <f t="shared" si="46"/>
        <v>1.4716490999999998</v>
      </c>
      <c r="Q97" s="324"/>
      <c r="R97" s="325"/>
    </row>
    <row r="98" spans="2:18" ht="15.75" thickBot="1">
      <c r="B98" s="166" t="s">
        <v>412</v>
      </c>
      <c r="C98" s="167" t="s">
        <v>321</v>
      </c>
      <c r="D98" s="334">
        <v>5.91</v>
      </c>
      <c r="E98" s="208">
        <f>IFERROR($D$98*E149/100, 0)</f>
        <v>0.71534639999999994</v>
      </c>
      <c r="F98" s="205">
        <f>IFERROR($D$98*F149/100, 0)</f>
        <v>1.4906202000000002</v>
      </c>
      <c r="G98" s="209">
        <f>IFERROR($D$98*G149/100, 0)</f>
        <v>0.73195350000000003</v>
      </c>
      <c r="H98" s="210">
        <f>IFERROR($D$98*H149/100, 0)</f>
        <v>2.8663500000000001E-2</v>
      </c>
      <c r="I98" s="211">
        <f>IFERROR($D$98*I149/100, 0)</f>
        <v>0.73000320000000007</v>
      </c>
      <c r="J98" s="205">
        <f t="shared" si="38"/>
        <v>2.2323843000000001</v>
      </c>
      <c r="K98" s="209">
        <f t="shared" ref="K98:P98" si="47">IFERROR($D$98*K149/100, 0)</f>
        <v>1.0259169000000001</v>
      </c>
      <c r="L98" s="210">
        <f t="shared" si="47"/>
        <v>0.82403130000000002</v>
      </c>
      <c r="M98" s="210">
        <f t="shared" si="47"/>
        <v>0.38243610000000006</v>
      </c>
      <c r="N98" s="207">
        <f t="shared" si="47"/>
        <v>0</v>
      </c>
      <c r="O98" s="208">
        <f t="shared" si="47"/>
        <v>0</v>
      </c>
      <c r="P98" s="205">
        <f t="shared" si="47"/>
        <v>1.4716490999999998</v>
      </c>
      <c r="Q98" s="335"/>
      <c r="R98" s="336"/>
    </row>
    <row r="99" spans="2:18">
      <c r="B99" s="149" t="s">
        <v>162</v>
      </c>
      <c r="C99" s="238" t="s">
        <v>323</v>
      </c>
      <c r="D99" s="337">
        <f>SUM(D100:D104)</f>
        <v>25.68</v>
      </c>
      <c r="E99" s="152">
        <f>SUM(E100:E104)</f>
        <v>3.1083071999999996</v>
      </c>
      <c r="F99" s="153">
        <f>SUM(G99:I99)</f>
        <v>6.4770096000000006</v>
      </c>
      <c r="G99" s="154">
        <f>SUM(G100:G104)</f>
        <v>3.1804680000000003</v>
      </c>
      <c r="H99" s="155">
        <f>SUM(H100:H104)</f>
        <v>0.12454799999999999</v>
      </c>
      <c r="I99" s="156">
        <f>SUM(I100:I104)</f>
        <v>3.1719936000000004</v>
      </c>
      <c r="J99" s="153">
        <f t="shared" si="38"/>
        <v>9.700106400000001</v>
      </c>
      <c r="K99" s="154">
        <f t="shared" ref="K99:P99" si="48">SUM(K100:K104)</f>
        <v>4.4577912000000008</v>
      </c>
      <c r="L99" s="155">
        <f t="shared" si="48"/>
        <v>3.5805623999999998</v>
      </c>
      <c r="M99" s="155">
        <f t="shared" si="48"/>
        <v>1.6617528000000001</v>
      </c>
      <c r="N99" s="151">
        <f t="shared" si="48"/>
        <v>0</v>
      </c>
      <c r="O99" s="152">
        <f t="shared" si="48"/>
        <v>0</v>
      </c>
      <c r="P99" s="153">
        <f t="shared" si="48"/>
        <v>6.3945768000000003</v>
      </c>
      <c r="Q99" s="324"/>
      <c r="R99" s="325"/>
    </row>
    <row r="100" spans="2:18">
      <c r="B100" s="166" t="s">
        <v>413</v>
      </c>
      <c r="C100" s="167" t="s">
        <v>277</v>
      </c>
      <c r="D100" s="334">
        <v>13.47</v>
      </c>
      <c r="E100" s="208">
        <f>IFERROR($D$100*E151/100, 0)</f>
        <v>1.6304087999999999</v>
      </c>
      <c r="F100" s="205">
        <f>IFERROR($D$100*F151/100, 0)</f>
        <v>3.3974034000000004</v>
      </c>
      <c r="G100" s="209">
        <f>IFERROR($D$100*G151/100, 0)</f>
        <v>1.6682595</v>
      </c>
      <c r="H100" s="210">
        <f>IFERROR($D$100*H151/100, 0)</f>
        <v>6.5329499999999999E-2</v>
      </c>
      <c r="I100" s="211">
        <f>IFERROR($D$100*I151/100, 0)</f>
        <v>1.6638144000000004</v>
      </c>
      <c r="J100" s="205">
        <f t="shared" si="38"/>
        <v>5.0880231</v>
      </c>
      <c r="K100" s="209">
        <f t="shared" ref="K100:P100" si="49">IFERROR($D$100*K151/100, 0)</f>
        <v>2.3382573000000004</v>
      </c>
      <c r="L100" s="210">
        <f t="shared" si="49"/>
        <v>1.8781220999999999</v>
      </c>
      <c r="M100" s="210">
        <f t="shared" si="49"/>
        <v>0.87164370000000002</v>
      </c>
      <c r="N100" s="207">
        <f t="shared" si="49"/>
        <v>0</v>
      </c>
      <c r="O100" s="208">
        <f t="shared" si="49"/>
        <v>0</v>
      </c>
      <c r="P100" s="205">
        <f t="shared" si="49"/>
        <v>3.3541647000000001</v>
      </c>
      <c r="Q100" s="335"/>
      <c r="R100" s="336"/>
    </row>
    <row r="101" spans="2:18">
      <c r="B101" s="166" t="s">
        <v>414</v>
      </c>
      <c r="C101" s="167" t="s">
        <v>281</v>
      </c>
      <c r="D101" s="334">
        <v>12.21</v>
      </c>
      <c r="E101" s="208">
        <f>IFERROR($D$101*E152/100, 0)</f>
        <v>1.4778983999999999</v>
      </c>
      <c r="F101" s="205">
        <f>IFERROR($D$101*F152/100, 0)</f>
        <v>3.0796062000000006</v>
      </c>
      <c r="G101" s="209">
        <f>IFERROR($D$101*G152/100, 0)</f>
        <v>1.5122085000000001</v>
      </c>
      <c r="H101" s="210">
        <f>IFERROR($D$101*H152/100, 0)</f>
        <v>5.92185E-2</v>
      </c>
      <c r="I101" s="211">
        <f>IFERROR($D$101*I152/100, 0)</f>
        <v>1.5081792000000001</v>
      </c>
      <c r="J101" s="205">
        <f t="shared" si="38"/>
        <v>4.612083300000001</v>
      </c>
      <c r="K101" s="209">
        <f t="shared" ref="K101:P101" si="50">IFERROR($D$101*K152/100, 0)</f>
        <v>2.1195339000000004</v>
      </c>
      <c r="L101" s="210">
        <f t="shared" si="50"/>
        <v>1.7024403000000001</v>
      </c>
      <c r="M101" s="210">
        <f t="shared" si="50"/>
        <v>0.79010910000000012</v>
      </c>
      <c r="N101" s="207">
        <f t="shared" si="50"/>
        <v>0</v>
      </c>
      <c r="O101" s="208">
        <f t="shared" si="50"/>
        <v>0</v>
      </c>
      <c r="P101" s="205">
        <f t="shared" si="50"/>
        <v>3.0404121000000002</v>
      </c>
      <c r="Q101" s="335"/>
      <c r="R101" s="336"/>
    </row>
    <row r="102" spans="2:18">
      <c r="B102" s="166" t="s">
        <v>415</v>
      </c>
      <c r="C102" s="249" t="s">
        <v>327</v>
      </c>
      <c r="D102" s="334">
        <v>0</v>
      </c>
      <c r="E102" s="208">
        <f>IFERROR($D$102*E153/100, 0)</f>
        <v>0</v>
      </c>
      <c r="F102" s="205">
        <f>IFERROR($D$102*F153/100, 0)</f>
        <v>0</v>
      </c>
      <c r="G102" s="209">
        <f>IFERROR($D$102*G153/100, 0)</f>
        <v>0</v>
      </c>
      <c r="H102" s="210">
        <f>IFERROR($D$102*H153/100, 0)</f>
        <v>0</v>
      </c>
      <c r="I102" s="211">
        <f>IFERROR($D$102*I153/100, 0)</f>
        <v>0</v>
      </c>
      <c r="J102" s="205">
        <f t="shared" si="38"/>
        <v>0</v>
      </c>
      <c r="K102" s="209">
        <f t="shared" ref="K102:P102" si="51">IFERROR($D$102*K153/100, 0)</f>
        <v>0</v>
      </c>
      <c r="L102" s="210">
        <f t="shared" si="51"/>
        <v>0</v>
      </c>
      <c r="M102" s="210">
        <f t="shared" si="51"/>
        <v>0</v>
      </c>
      <c r="N102" s="207">
        <f t="shared" si="51"/>
        <v>0</v>
      </c>
      <c r="O102" s="208">
        <f t="shared" si="51"/>
        <v>0</v>
      </c>
      <c r="P102" s="205">
        <f t="shared" si="51"/>
        <v>0</v>
      </c>
      <c r="Q102" s="335"/>
      <c r="R102" s="336"/>
    </row>
    <row r="103" spans="2:18">
      <c r="B103" s="166" t="s">
        <v>416</v>
      </c>
      <c r="C103" s="250" t="s">
        <v>279</v>
      </c>
      <c r="D103" s="334">
        <v>0</v>
      </c>
      <c r="E103" s="208">
        <f>IFERROR($D$103*E154/100, 0)</f>
        <v>0</v>
      </c>
      <c r="F103" s="205">
        <f>IFERROR($D$103*F154/100, 0)</f>
        <v>0</v>
      </c>
      <c r="G103" s="209">
        <f>IFERROR($D$103*G154/100, 0)</f>
        <v>0</v>
      </c>
      <c r="H103" s="210">
        <f>IFERROR($D$103*H154/100, 0)</f>
        <v>0</v>
      </c>
      <c r="I103" s="211">
        <f>IFERROR($D$103*I154/100, 0)</f>
        <v>0</v>
      </c>
      <c r="J103" s="205">
        <f t="shared" si="38"/>
        <v>0</v>
      </c>
      <c r="K103" s="209">
        <f t="shared" ref="K103:P103" si="52">IFERROR($D$103*K154/100, 0)</f>
        <v>0</v>
      </c>
      <c r="L103" s="210">
        <f t="shared" si="52"/>
        <v>0</v>
      </c>
      <c r="M103" s="210">
        <f t="shared" si="52"/>
        <v>0</v>
      </c>
      <c r="N103" s="207">
        <f t="shared" si="52"/>
        <v>0</v>
      </c>
      <c r="O103" s="208">
        <f t="shared" si="52"/>
        <v>0</v>
      </c>
      <c r="P103" s="205">
        <f t="shared" si="52"/>
        <v>0</v>
      </c>
      <c r="Q103" s="335"/>
      <c r="R103" s="336"/>
    </row>
    <row r="104" spans="2:18" ht="32.25" customHeight="1" thickBot="1">
      <c r="B104" s="166" t="s">
        <v>417</v>
      </c>
      <c r="C104" s="250" t="s">
        <v>330</v>
      </c>
      <c r="D104" s="334">
        <v>0</v>
      </c>
      <c r="E104" s="208">
        <f>IFERROR($D$104*E155/100, 0)</f>
        <v>0</v>
      </c>
      <c r="F104" s="205">
        <f>IFERROR($D$104*F155/100, 0)</f>
        <v>0</v>
      </c>
      <c r="G104" s="209">
        <f>IFERROR($D$104*G155/100, 0)</f>
        <v>0</v>
      </c>
      <c r="H104" s="210">
        <f>IFERROR($D$104*H155/100, 0)</f>
        <v>0</v>
      </c>
      <c r="I104" s="211">
        <f>IFERROR($D$104*I155/100, 0)</f>
        <v>0</v>
      </c>
      <c r="J104" s="205">
        <f t="shared" si="38"/>
        <v>0</v>
      </c>
      <c r="K104" s="209">
        <f t="shared" ref="K104:P104" si="53">IFERROR($D$104*K155/100, 0)</f>
        <v>0</v>
      </c>
      <c r="L104" s="210">
        <f t="shared" si="53"/>
        <v>0</v>
      </c>
      <c r="M104" s="210">
        <f t="shared" si="53"/>
        <v>0</v>
      </c>
      <c r="N104" s="207">
        <f t="shared" si="53"/>
        <v>0</v>
      </c>
      <c r="O104" s="208">
        <f t="shared" si="53"/>
        <v>0</v>
      </c>
      <c r="P104" s="205">
        <f t="shared" si="53"/>
        <v>0</v>
      </c>
      <c r="Q104" s="335"/>
      <c r="R104" s="336"/>
    </row>
    <row r="105" spans="2:18" ht="15.75" thickBot="1">
      <c r="B105" s="149" t="s">
        <v>418</v>
      </c>
      <c r="C105" s="238" t="s">
        <v>332</v>
      </c>
      <c r="D105" s="338">
        <v>28.85</v>
      </c>
      <c r="E105" s="152">
        <f>IFERROR($D$105*E156/100, 0)</f>
        <v>2.5604374999999999</v>
      </c>
      <c r="F105" s="153">
        <f>IFERROR($D$105*F156/100, 0)</f>
        <v>13.71529</v>
      </c>
      <c r="G105" s="154">
        <f>IFERROR($D$105*G156/100, 0)</f>
        <v>2.0959525000000001</v>
      </c>
      <c r="H105" s="155">
        <f>IFERROR($D$105*H156/100, 0)</f>
        <v>0.82366750000000011</v>
      </c>
      <c r="I105" s="156">
        <f>IFERROR($D$105*I156/100, 0)</f>
        <v>10.795669999999999</v>
      </c>
      <c r="J105" s="153">
        <f t="shared" si="38"/>
        <v>11.613279000000002</v>
      </c>
      <c r="K105" s="154">
        <f t="shared" ref="K105:P105" si="54">IFERROR($D$105*K156/100, 0)</f>
        <v>9.821117000000001</v>
      </c>
      <c r="L105" s="155">
        <f t="shared" si="54"/>
        <v>1.7465790000000001</v>
      </c>
      <c r="M105" s="155">
        <f t="shared" si="54"/>
        <v>4.5582999999999999E-2</v>
      </c>
      <c r="N105" s="151">
        <f t="shared" si="54"/>
        <v>0</v>
      </c>
      <c r="O105" s="152">
        <f t="shared" si="54"/>
        <v>0</v>
      </c>
      <c r="P105" s="153">
        <f t="shared" si="54"/>
        <v>0.96070500000000014</v>
      </c>
      <c r="Q105" s="324"/>
      <c r="R105" s="325"/>
    </row>
    <row r="106" spans="2:18">
      <c r="B106" s="149" t="s">
        <v>419</v>
      </c>
      <c r="C106" s="238" t="s">
        <v>334</v>
      </c>
      <c r="D106" s="337">
        <f>SUM(D107:D110)</f>
        <v>146.24</v>
      </c>
      <c r="E106" s="152">
        <f>SUM(E107:E110)</f>
        <v>17.7008896</v>
      </c>
      <c r="F106" s="153">
        <f t="shared" ref="F106:F140" si="55">SUM(G106:I106)</f>
        <v>36.884652799999998</v>
      </c>
      <c r="G106" s="154">
        <f>SUM(G107:G110)</f>
        <v>18.111823999999999</v>
      </c>
      <c r="H106" s="155">
        <f>SUM(H107:H110)</f>
        <v>0.70926400000000012</v>
      </c>
      <c r="I106" s="156">
        <f>SUM(I107:I110)</f>
        <v>18.063564800000002</v>
      </c>
      <c r="J106" s="153">
        <f t="shared" si="38"/>
        <v>55.23923520000001</v>
      </c>
      <c r="K106" s="154">
        <f t="shared" ref="K106:P106" si="56">SUM(K107:K110)</f>
        <v>25.385801600000004</v>
      </c>
      <c r="L106" s="155">
        <f t="shared" si="56"/>
        <v>20.3902432</v>
      </c>
      <c r="M106" s="155">
        <f t="shared" si="56"/>
        <v>9.463190400000002</v>
      </c>
      <c r="N106" s="151">
        <f t="shared" si="56"/>
        <v>0</v>
      </c>
      <c r="O106" s="152">
        <f t="shared" si="56"/>
        <v>0</v>
      </c>
      <c r="P106" s="153">
        <f t="shared" si="56"/>
        <v>36.415222400000005</v>
      </c>
      <c r="Q106" s="339"/>
      <c r="R106" s="325"/>
    </row>
    <row r="107" spans="2:18">
      <c r="B107" s="258" t="s">
        <v>420</v>
      </c>
      <c r="C107" s="259" t="s">
        <v>336</v>
      </c>
      <c r="D107" s="334">
        <v>138.49</v>
      </c>
      <c r="E107" s="208">
        <f>IFERROR($D$107*E158/100, 0)</f>
        <v>16.7628296</v>
      </c>
      <c r="F107" s="205">
        <f t="shared" si="55"/>
        <v>34.929947800000001</v>
      </c>
      <c r="G107" s="209">
        <f>IFERROR($D$107*G158/100, 0)</f>
        <v>17.1519865</v>
      </c>
      <c r="H107" s="210">
        <f>IFERROR($D$107*H158/100, 0)</f>
        <v>0.67167650000000012</v>
      </c>
      <c r="I107" s="211">
        <f>IFERROR($D$107*I158/100, 0)</f>
        <v>17.106284800000001</v>
      </c>
      <c r="J107" s="205">
        <f t="shared" si="38"/>
        <v>52.311827700000009</v>
      </c>
      <c r="K107" s="209">
        <f t="shared" ref="K107:P107" si="57">IFERROR($D$107*K158/100, 0)</f>
        <v>24.040479100000002</v>
      </c>
      <c r="L107" s="210">
        <f t="shared" si="57"/>
        <v>19.309660700000002</v>
      </c>
      <c r="M107" s="210">
        <f t="shared" si="57"/>
        <v>8.9616879000000012</v>
      </c>
      <c r="N107" s="207">
        <f t="shared" si="57"/>
        <v>0</v>
      </c>
      <c r="O107" s="208">
        <f t="shared" si="57"/>
        <v>0</v>
      </c>
      <c r="P107" s="205">
        <f t="shared" si="57"/>
        <v>34.485394900000003</v>
      </c>
      <c r="Q107" s="340"/>
      <c r="R107" s="336"/>
    </row>
    <row r="108" spans="2:18">
      <c r="B108" s="258" t="s">
        <v>421</v>
      </c>
      <c r="C108" s="259" t="s">
        <v>338</v>
      </c>
      <c r="D108" s="334">
        <v>2.46</v>
      </c>
      <c r="E108" s="208">
        <f>IFERROR($D$108*E159/100, 0)</f>
        <v>0.29775839999999998</v>
      </c>
      <c r="F108" s="205">
        <f t="shared" si="55"/>
        <v>0.62046120000000005</v>
      </c>
      <c r="G108" s="209">
        <f>IFERROR($D$108*G159/100, 0)</f>
        <v>0.30467099999999997</v>
      </c>
      <c r="H108" s="210">
        <f>IFERROR($D$108*H159/100, 0)</f>
        <v>1.1931000000000001E-2</v>
      </c>
      <c r="I108" s="211">
        <f>IFERROR($D$108*I159/100, 0)</f>
        <v>0.3038592</v>
      </c>
      <c r="J108" s="205">
        <f t="shared" si="38"/>
        <v>0.92921579999999993</v>
      </c>
      <c r="K108" s="209">
        <f t="shared" ref="K108:P108" si="58">IFERROR($D$108*K159/100, 0)</f>
        <v>0.42703140000000006</v>
      </c>
      <c r="L108" s="210">
        <f t="shared" si="58"/>
        <v>0.34299779999999996</v>
      </c>
      <c r="M108" s="210">
        <f t="shared" si="58"/>
        <v>0.15918659999999998</v>
      </c>
      <c r="N108" s="207">
        <f t="shared" si="58"/>
        <v>0</v>
      </c>
      <c r="O108" s="208">
        <f t="shared" si="58"/>
        <v>0</v>
      </c>
      <c r="P108" s="205">
        <f t="shared" si="58"/>
        <v>0.61256460000000001</v>
      </c>
      <c r="Q108" s="340"/>
      <c r="R108" s="336"/>
    </row>
    <row r="109" spans="2:18">
      <c r="B109" s="258" t="s">
        <v>422</v>
      </c>
      <c r="C109" s="259" t="s">
        <v>340</v>
      </c>
      <c r="D109" s="334">
        <v>5.29</v>
      </c>
      <c r="E109" s="208">
        <f>IFERROR($D$109*E160/100, 0)</f>
        <v>0.64030159999999992</v>
      </c>
      <c r="F109" s="205">
        <f t="shared" si="55"/>
        <v>1.3342437999999999</v>
      </c>
      <c r="G109" s="209">
        <f>IFERROR($D$109*G160/100, 0)</f>
        <v>0.65516649999999998</v>
      </c>
      <c r="H109" s="210">
        <f>IFERROR($D$109*H160/100, 0)</f>
        <v>2.5656499999999999E-2</v>
      </c>
      <c r="I109" s="211">
        <f>IFERROR($D$109*I160/100, 0)</f>
        <v>0.65342079999999991</v>
      </c>
      <c r="J109" s="205">
        <f t="shared" si="38"/>
        <v>1.9981917</v>
      </c>
      <c r="K109" s="209">
        <f t="shared" ref="K109:P109" si="59">IFERROR($D$109*K160/100, 0)</f>
        <v>0.91829110000000014</v>
      </c>
      <c r="L109" s="210">
        <f t="shared" si="59"/>
        <v>0.73758469999999998</v>
      </c>
      <c r="M109" s="210">
        <f t="shared" si="59"/>
        <v>0.34231590000000006</v>
      </c>
      <c r="N109" s="207">
        <f t="shared" si="59"/>
        <v>0</v>
      </c>
      <c r="O109" s="208">
        <f t="shared" si="59"/>
        <v>0</v>
      </c>
      <c r="P109" s="205">
        <f t="shared" si="59"/>
        <v>1.3172629</v>
      </c>
      <c r="Q109" s="335"/>
      <c r="R109" s="336"/>
    </row>
    <row r="110" spans="2:18" ht="15.75" thickBot="1">
      <c r="B110" s="258" t="s">
        <v>423</v>
      </c>
      <c r="C110" s="249" t="s">
        <v>342</v>
      </c>
      <c r="D110" s="341">
        <v>0</v>
      </c>
      <c r="E110" s="214">
        <f>IFERROR($D$110*E161/100, 0)</f>
        <v>0</v>
      </c>
      <c r="F110" s="215">
        <f t="shared" si="55"/>
        <v>0</v>
      </c>
      <c r="G110" s="216">
        <f>IFERROR($D$110*G161/100, 0)</f>
        <v>0</v>
      </c>
      <c r="H110" s="217">
        <f>IFERROR($D$110*H161/100, 0)</f>
        <v>0</v>
      </c>
      <c r="I110" s="218">
        <f>IFERROR($D$110*I161/100, 0)</f>
        <v>0</v>
      </c>
      <c r="J110" s="215">
        <f t="shared" si="38"/>
        <v>0</v>
      </c>
      <c r="K110" s="216">
        <f t="shared" ref="K110:P110" si="60">IFERROR($D$110*K161/100, 0)</f>
        <v>0</v>
      </c>
      <c r="L110" s="217">
        <f t="shared" si="60"/>
        <v>0</v>
      </c>
      <c r="M110" s="217">
        <f t="shared" si="60"/>
        <v>0</v>
      </c>
      <c r="N110" s="213">
        <f t="shared" si="60"/>
        <v>0</v>
      </c>
      <c r="O110" s="214">
        <f t="shared" si="60"/>
        <v>0</v>
      </c>
      <c r="P110" s="215">
        <f t="shared" si="60"/>
        <v>0</v>
      </c>
      <c r="Q110" s="335"/>
      <c r="R110" s="336"/>
    </row>
    <row r="111" spans="2:18">
      <c r="B111" s="149" t="s">
        <v>424</v>
      </c>
      <c r="C111" s="238" t="s">
        <v>344</v>
      </c>
      <c r="D111" s="337">
        <f>SUM(D112:D114)</f>
        <v>0</v>
      </c>
      <c r="E111" s="152">
        <f>SUM(E112:E114)</f>
        <v>0</v>
      </c>
      <c r="F111" s="153">
        <f t="shared" si="55"/>
        <v>0</v>
      </c>
      <c r="G111" s="154">
        <f>SUM(G112:G114)</f>
        <v>0</v>
      </c>
      <c r="H111" s="155">
        <f>SUM(H112:H114)</f>
        <v>0</v>
      </c>
      <c r="I111" s="156">
        <f>SUM(I112:I114)</f>
        <v>0</v>
      </c>
      <c r="J111" s="153">
        <f t="shared" si="38"/>
        <v>0</v>
      </c>
      <c r="K111" s="154">
        <f t="shared" ref="K111:P111" si="61">SUM(K112:K114)</f>
        <v>0</v>
      </c>
      <c r="L111" s="155">
        <f t="shared" si="61"/>
        <v>0</v>
      </c>
      <c r="M111" s="155">
        <f t="shared" si="61"/>
        <v>0</v>
      </c>
      <c r="N111" s="151">
        <f t="shared" si="61"/>
        <v>0</v>
      </c>
      <c r="O111" s="152">
        <f t="shared" si="61"/>
        <v>0</v>
      </c>
      <c r="P111" s="153">
        <f t="shared" si="61"/>
        <v>0</v>
      </c>
      <c r="Q111" s="324"/>
      <c r="R111" s="325"/>
    </row>
    <row r="112" spans="2:18">
      <c r="B112" s="258" t="s">
        <v>425</v>
      </c>
      <c r="C112" s="259" t="s">
        <v>350</v>
      </c>
      <c r="D112" s="334">
        <v>0</v>
      </c>
      <c r="E112" s="208">
        <f>IFERROR($D$112*E163/100, 0)</f>
        <v>0</v>
      </c>
      <c r="F112" s="205">
        <f t="shared" si="55"/>
        <v>0</v>
      </c>
      <c r="G112" s="209">
        <f>IFERROR($D$112*G163/100, 0)</f>
        <v>0</v>
      </c>
      <c r="H112" s="210">
        <f>IFERROR($D$112*H163/100, 0)</f>
        <v>0</v>
      </c>
      <c r="I112" s="211">
        <f>IFERROR($D$112*I163/100, 0)</f>
        <v>0</v>
      </c>
      <c r="J112" s="205">
        <f t="shared" si="38"/>
        <v>0</v>
      </c>
      <c r="K112" s="209">
        <f t="shared" ref="K112:P112" si="62">IFERROR($D$112*K163/100, 0)</f>
        <v>0</v>
      </c>
      <c r="L112" s="210">
        <f t="shared" si="62"/>
        <v>0</v>
      </c>
      <c r="M112" s="210">
        <f t="shared" si="62"/>
        <v>0</v>
      </c>
      <c r="N112" s="207">
        <f t="shared" si="62"/>
        <v>0</v>
      </c>
      <c r="O112" s="208">
        <f t="shared" si="62"/>
        <v>0</v>
      </c>
      <c r="P112" s="205">
        <f t="shared" si="62"/>
        <v>0</v>
      </c>
      <c r="Q112" s="335"/>
      <c r="R112" s="336"/>
    </row>
    <row r="113" spans="2:18">
      <c r="B113" s="261" t="s">
        <v>426</v>
      </c>
      <c r="C113" s="259" t="s">
        <v>352</v>
      </c>
      <c r="D113" s="341">
        <v>0</v>
      </c>
      <c r="E113" s="208">
        <f>IFERROR($D$113*E164/100, 0)</f>
        <v>0</v>
      </c>
      <c r="F113" s="205">
        <f t="shared" si="55"/>
        <v>0</v>
      </c>
      <c r="G113" s="209">
        <f>IFERROR($D$113*G164/100, 0)</f>
        <v>0</v>
      </c>
      <c r="H113" s="210">
        <f>IFERROR($D$113*H164/100, 0)</f>
        <v>0</v>
      </c>
      <c r="I113" s="211">
        <f>IFERROR($D$113*I164/100, 0)</f>
        <v>0</v>
      </c>
      <c r="J113" s="205">
        <f t="shared" si="38"/>
        <v>0</v>
      </c>
      <c r="K113" s="209">
        <f t="shared" ref="K113:P113" si="63">IFERROR($D$113*K164/100, 0)</f>
        <v>0</v>
      </c>
      <c r="L113" s="210">
        <f t="shared" si="63"/>
        <v>0</v>
      </c>
      <c r="M113" s="210">
        <f t="shared" si="63"/>
        <v>0</v>
      </c>
      <c r="N113" s="207">
        <f t="shared" si="63"/>
        <v>0</v>
      </c>
      <c r="O113" s="208">
        <f t="shared" si="63"/>
        <v>0</v>
      </c>
      <c r="P113" s="205">
        <f t="shared" si="63"/>
        <v>0</v>
      </c>
      <c r="Q113" s="335"/>
      <c r="R113" s="336"/>
    </row>
    <row r="114" spans="2:18" ht="15.75" thickBot="1">
      <c r="B114" s="261" t="s">
        <v>427</v>
      </c>
      <c r="C114" s="249" t="s">
        <v>354</v>
      </c>
      <c r="D114" s="341">
        <v>0</v>
      </c>
      <c r="E114" s="208">
        <f>IFERROR($D$114*E165/100, 0)</f>
        <v>0</v>
      </c>
      <c r="F114" s="215">
        <f t="shared" si="55"/>
        <v>0</v>
      </c>
      <c r="G114" s="216">
        <f>IFERROR($D$114*G165/100, 0)</f>
        <v>0</v>
      </c>
      <c r="H114" s="217">
        <f>IFERROR($D$114*H165/100, 0)</f>
        <v>0</v>
      </c>
      <c r="I114" s="218">
        <f>IFERROR($D$114*I165/100, 0)</f>
        <v>0</v>
      </c>
      <c r="J114" s="215">
        <f t="shared" si="38"/>
        <v>0</v>
      </c>
      <c r="K114" s="216">
        <f t="shared" ref="K114:P114" si="64">IFERROR($D$114*K165/100, 0)</f>
        <v>0</v>
      </c>
      <c r="L114" s="217">
        <f t="shared" si="64"/>
        <v>0</v>
      </c>
      <c r="M114" s="217">
        <f t="shared" si="64"/>
        <v>0</v>
      </c>
      <c r="N114" s="213">
        <f t="shared" si="64"/>
        <v>0</v>
      </c>
      <c r="O114" s="214">
        <f t="shared" si="64"/>
        <v>0</v>
      </c>
      <c r="P114" s="215">
        <f t="shared" si="64"/>
        <v>0</v>
      </c>
      <c r="Q114" s="335"/>
      <c r="R114" s="336"/>
    </row>
    <row r="115" spans="2:18">
      <c r="B115" s="149" t="s">
        <v>428</v>
      </c>
      <c r="C115" s="238" t="s">
        <v>356</v>
      </c>
      <c r="D115" s="337">
        <f>SUM(D116:D117)</f>
        <v>0</v>
      </c>
      <c r="E115" s="152">
        <f>E116+E117</f>
        <v>0</v>
      </c>
      <c r="F115" s="153">
        <f t="shared" si="55"/>
        <v>0</v>
      </c>
      <c r="G115" s="154">
        <f>G116+G117</f>
        <v>0</v>
      </c>
      <c r="H115" s="155">
        <f>H116+H117</f>
        <v>0</v>
      </c>
      <c r="I115" s="156">
        <f>I116+I117</f>
        <v>0</v>
      </c>
      <c r="J115" s="153">
        <f t="shared" si="38"/>
        <v>0</v>
      </c>
      <c r="K115" s="154">
        <f t="shared" ref="K115:P115" si="65">K116+K117</f>
        <v>0</v>
      </c>
      <c r="L115" s="155">
        <f t="shared" si="65"/>
        <v>0</v>
      </c>
      <c r="M115" s="155">
        <f t="shared" si="65"/>
        <v>0</v>
      </c>
      <c r="N115" s="151">
        <f t="shared" si="65"/>
        <v>0</v>
      </c>
      <c r="O115" s="152">
        <f t="shared" si="65"/>
        <v>0</v>
      </c>
      <c r="P115" s="153">
        <f t="shared" si="65"/>
        <v>0</v>
      </c>
      <c r="Q115" s="324"/>
      <c r="R115" s="325"/>
    </row>
    <row r="116" spans="2:18">
      <c r="B116" s="258" t="s">
        <v>429</v>
      </c>
      <c r="C116" s="259" t="s">
        <v>358</v>
      </c>
      <c r="D116" s="342">
        <v>0</v>
      </c>
      <c r="E116" s="208">
        <f>IFERROR($D$116*E167/100, 0)</f>
        <v>0</v>
      </c>
      <c r="F116" s="205">
        <f t="shared" si="55"/>
        <v>0</v>
      </c>
      <c r="G116" s="209">
        <f>IFERROR($D$116*G167/100, 0)</f>
        <v>0</v>
      </c>
      <c r="H116" s="210">
        <f>IFERROR($D$116*H167/100, 0)</f>
        <v>0</v>
      </c>
      <c r="I116" s="211">
        <f>IFERROR($D$116*I167/100, 0)</f>
        <v>0</v>
      </c>
      <c r="J116" s="205">
        <f t="shared" si="38"/>
        <v>0</v>
      </c>
      <c r="K116" s="209">
        <f t="shared" ref="K116:P116" si="66">IFERROR($D$116*K167/100, 0)</f>
        <v>0</v>
      </c>
      <c r="L116" s="210">
        <f t="shared" si="66"/>
        <v>0</v>
      </c>
      <c r="M116" s="210">
        <f t="shared" si="66"/>
        <v>0</v>
      </c>
      <c r="N116" s="207">
        <f t="shared" si="66"/>
        <v>0</v>
      </c>
      <c r="O116" s="208">
        <f t="shared" si="66"/>
        <v>0</v>
      </c>
      <c r="P116" s="205">
        <f t="shared" si="66"/>
        <v>0</v>
      </c>
      <c r="Q116" s="335"/>
      <c r="R116" s="336"/>
    </row>
    <row r="117" spans="2:18" ht="15.75" thickBot="1">
      <c r="B117" s="261" t="s">
        <v>430</v>
      </c>
      <c r="C117" s="249" t="s">
        <v>360</v>
      </c>
      <c r="D117" s="343">
        <v>0</v>
      </c>
      <c r="E117" s="214">
        <f>IFERROR($D$117*E168/100, 0)</f>
        <v>0</v>
      </c>
      <c r="F117" s="215">
        <f t="shared" si="55"/>
        <v>0</v>
      </c>
      <c r="G117" s="216">
        <f>IFERROR($D$117*G168/100, 0)</f>
        <v>0</v>
      </c>
      <c r="H117" s="217">
        <f>IFERROR($D$117*H168/100, 0)</f>
        <v>0</v>
      </c>
      <c r="I117" s="218">
        <f>IFERROR($D$117*I168/100, 0)</f>
        <v>0</v>
      </c>
      <c r="J117" s="215">
        <f t="shared" si="38"/>
        <v>0</v>
      </c>
      <c r="K117" s="216">
        <f t="shared" ref="K117:P117" si="67">IFERROR($D$117*K168/100, 0)</f>
        <v>0</v>
      </c>
      <c r="L117" s="217">
        <f t="shared" si="67"/>
        <v>0</v>
      </c>
      <c r="M117" s="217">
        <f t="shared" si="67"/>
        <v>0</v>
      </c>
      <c r="N117" s="213">
        <f t="shared" si="67"/>
        <v>0</v>
      </c>
      <c r="O117" s="214">
        <f t="shared" si="67"/>
        <v>0</v>
      </c>
      <c r="P117" s="215">
        <f t="shared" si="67"/>
        <v>0</v>
      </c>
      <c r="Q117" s="335"/>
      <c r="R117" s="336"/>
    </row>
    <row r="118" spans="2:18">
      <c r="B118" s="149" t="s">
        <v>431</v>
      </c>
      <c r="C118" s="238" t="s">
        <v>362</v>
      </c>
      <c r="D118" s="337">
        <f>SUM(D119:D132)</f>
        <v>0</v>
      </c>
      <c r="E118" s="152">
        <f>SUM(E119:E132)</f>
        <v>0</v>
      </c>
      <c r="F118" s="153">
        <f t="shared" si="55"/>
        <v>0</v>
      </c>
      <c r="G118" s="154">
        <f>SUM(G119:G132)</f>
        <v>0</v>
      </c>
      <c r="H118" s="155">
        <f>SUM(H119:H132)</f>
        <v>0</v>
      </c>
      <c r="I118" s="156">
        <f>SUM(I119:I132)</f>
        <v>0</v>
      </c>
      <c r="J118" s="153">
        <f t="shared" si="38"/>
        <v>0</v>
      </c>
      <c r="K118" s="154">
        <f t="shared" ref="K118:P118" si="68">SUM(K119:K132)</f>
        <v>0</v>
      </c>
      <c r="L118" s="155">
        <f t="shared" si="68"/>
        <v>0</v>
      </c>
      <c r="M118" s="155">
        <f t="shared" si="68"/>
        <v>0</v>
      </c>
      <c r="N118" s="151">
        <f t="shared" si="68"/>
        <v>0</v>
      </c>
      <c r="O118" s="152">
        <f t="shared" si="68"/>
        <v>0</v>
      </c>
      <c r="P118" s="153">
        <f t="shared" si="68"/>
        <v>0</v>
      </c>
      <c r="Q118" s="324"/>
      <c r="R118" s="325"/>
    </row>
    <row r="119" spans="2:18">
      <c r="B119" s="258" t="s">
        <v>432</v>
      </c>
      <c r="C119" s="259" t="s">
        <v>364</v>
      </c>
      <c r="D119" s="334">
        <v>0</v>
      </c>
      <c r="E119" s="208">
        <f>IFERROR($D$119*E170/100, 0)</f>
        <v>0</v>
      </c>
      <c r="F119" s="205">
        <f t="shared" si="55"/>
        <v>0</v>
      </c>
      <c r="G119" s="209">
        <f>IFERROR($D$119*G170/100, 0)</f>
        <v>0</v>
      </c>
      <c r="H119" s="210">
        <f>IFERROR($D$119*H170/100, 0)</f>
        <v>0</v>
      </c>
      <c r="I119" s="211">
        <f>IFERROR($D$119*I170/100, 0)</f>
        <v>0</v>
      </c>
      <c r="J119" s="205">
        <f t="shared" si="38"/>
        <v>0</v>
      </c>
      <c r="K119" s="209">
        <f t="shared" ref="K119:P119" si="69">IFERROR($D$119*K170/100, 0)</f>
        <v>0</v>
      </c>
      <c r="L119" s="210">
        <f t="shared" si="69"/>
        <v>0</v>
      </c>
      <c r="M119" s="210">
        <f t="shared" si="69"/>
        <v>0</v>
      </c>
      <c r="N119" s="207">
        <f t="shared" si="69"/>
        <v>0</v>
      </c>
      <c r="O119" s="208">
        <f t="shared" si="69"/>
        <v>0</v>
      </c>
      <c r="P119" s="205">
        <f t="shared" si="69"/>
        <v>0</v>
      </c>
      <c r="Q119" s="335"/>
      <c r="R119" s="336"/>
    </row>
    <row r="120" spans="2:18">
      <c r="B120" s="258" t="s">
        <v>433</v>
      </c>
      <c r="C120" s="259" t="s">
        <v>366</v>
      </c>
      <c r="D120" s="334">
        <v>0</v>
      </c>
      <c r="E120" s="208">
        <f>IFERROR($D$120*E171/100, 0)</f>
        <v>0</v>
      </c>
      <c r="F120" s="205">
        <f t="shared" si="55"/>
        <v>0</v>
      </c>
      <c r="G120" s="209">
        <f>IFERROR($D$120*G171/100, 0)</f>
        <v>0</v>
      </c>
      <c r="H120" s="210">
        <f>IFERROR($D$120*H171/100, 0)</f>
        <v>0</v>
      </c>
      <c r="I120" s="211">
        <f>IFERROR($D$120*I171/100, 0)</f>
        <v>0</v>
      </c>
      <c r="J120" s="205">
        <f t="shared" si="38"/>
        <v>0</v>
      </c>
      <c r="K120" s="209">
        <f t="shared" ref="K120:P120" si="70">IFERROR($D$120*K171/100, 0)</f>
        <v>0</v>
      </c>
      <c r="L120" s="210">
        <f t="shared" si="70"/>
        <v>0</v>
      </c>
      <c r="M120" s="210">
        <f t="shared" si="70"/>
        <v>0</v>
      </c>
      <c r="N120" s="207">
        <f t="shared" si="70"/>
        <v>0</v>
      </c>
      <c r="O120" s="208">
        <f t="shared" si="70"/>
        <v>0</v>
      </c>
      <c r="P120" s="205">
        <f t="shared" si="70"/>
        <v>0</v>
      </c>
      <c r="Q120" s="335"/>
      <c r="R120" s="336"/>
    </row>
    <row r="121" spans="2:18">
      <c r="B121" s="258" t="s">
        <v>434</v>
      </c>
      <c r="C121" s="259" t="s">
        <v>368</v>
      </c>
      <c r="D121" s="334">
        <v>0</v>
      </c>
      <c r="E121" s="208">
        <f>IFERROR($D$121*E172/100, 0)</f>
        <v>0</v>
      </c>
      <c r="F121" s="205">
        <f t="shared" si="55"/>
        <v>0</v>
      </c>
      <c r="G121" s="209">
        <f>IFERROR($D$121*G172/100, 0)</f>
        <v>0</v>
      </c>
      <c r="H121" s="210">
        <f>IFERROR($D$121*H172/100, 0)</f>
        <v>0</v>
      </c>
      <c r="I121" s="211">
        <f>IFERROR($D$121*I172/100, 0)</f>
        <v>0</v>
      </c>
      <c r="J121" s="205">
        <f t="shared" ref="J121:J140" si="71">SUM(K121:M121)</f>
        <v>0</v>
      </c>
      <c r="K121" s="209">
        <f t="shared" ref="K121:P121" si="72">IFERROR($D$121*K172/100, 0)</f>
        <v>0</v>
      </c>
      <c r="L121" s="210">
        <f t="shared" si="72"/>
        <v>0</v>
      </c>
      <c r="M121" s="210">
        <f t="shared" si="72"/>
        <v>0</v>
      </c>
      <c r="N121" s="207">
        <f t="shared" si="72"/>
        <v>0</v>
      </c>
      <c r="O121" s="208">
        <f t="shared" si="72"/>
        <v>0</v>
      </c>
      <c r="P121" s="205">
        <f t="shared" si="72"/>
        <v>0</v>
      </c>
      <c r="Q121" s="335"/>
      <c r="R121" s="336"/>
    </row>
    <row r="122" spans="2:18">
      <c r="B122" s="258" t="s">
        <v>435</v>
      </c>
      <c r="C122" s="259" t="s">
        <v>370</v>
      </c>
      <c r="D122" s="334">
        <v>0</v>
      </c>
      <c r="E122" s="208">
        <f>IFERROR($D$122*E173/100, 0)</f>
        <v>0</v>
      </c>
      <c r="F122" s="205">
        <f t="shared" si="55"/>
        <v>0</v>
      </c>
      <c r="G122" s="209">
        <f>IFERROR($D$122*G173/100, 0)</f>
        <v>0</v>
      </c>
      <c r="H122" s="210">
        <f>IFERROR($D$122*H173/100, 0)</f>
        <v>0</v>
      </c>
      <c r="I122" s="211">
        <f>IFERROR($D$122*I173/100, 0)</f>
        <v>0</v>
      </c>
      <c r="J122" s="205">
        <f t="shared" si="71"/>
        <v>0</v>
      </c>
      <c r="K122" s="209">
        <f t="shared" ref="K122:P122" si="73">IFERROR($D$122*K173/100, 0)</f>
        <v>0</v>
      </c>
      <c r="L122" s="210">
        <f t="shared" si="73"/>
        <v>0</v>
      </c>
      <c r="M122" s="210">
        <f t="shared" si="73"/>
        <v>0</v>
      </c>
      <c r="N122" s="207">
        <f t="shared" si="73"/>
        <v>0</v>
      </c>
      <c r="O122" s="208">
        <f t="shared" si="73"/>
        <v>0</v>
      </c>
      <c r="P122" s="205">
        <f t="shared" si="73"/>
        <v>0</v>
      </c>
      <c r="Q122" s="335"/>
      <c r="R122" s="336"/>
    </row>
    <row r="123" spans="2:18">
      <c r="B123" s="258" t="s">
        <v>436</v>
      </c>
      <c r="C123" s="259" t="s">
        <v>372</v>
      </c>
      <c r="D123" s="334">
        <v>0</v>
      </c>
      <c r="E123" s="208">
        <f>IFERROR($D$123*E174/100, 0)</f>
        <v>0</v>
      </c>
      <c r="F123" s="205">
        <f t="shared" si="55"/>
        <v>0</v>
      </c>
      <c r="G123" s="209">
        <f>IFERROR($D$123*G174/100, 0)</f>
        <v>0</v>
      </c>
      <c r="H123" s="210">
        <f>IFERROR($D$123*H174/100, 0)</f>
        <v>0</v>
      </c>
      <c r="I123" s="211">
        <f>IFERROR($D$123*I174/100, 0)</f>
        <v>0</v>
      </c>
      <c r="J123" s="205">
        <f t="shared" si="71"/>
        <v>0</v>
      </c>
      <c r="K123" s="209">
        <f t="shared" ref="K123:P123" si="74">IFERROR($D$123*K174/100, 0)</f>
        <v>0</v>
      </c>
      <c r="L123" s="210">
        <f t="shared" si="74"/>
        <v>0</v>
      </c>
      <c r="M123" s="210">
        <f t="shared" si="74"/>
        <v>0</v>
      </c>
      <c r="N123" s="207">
        <f t="shared" si="74"/>
        <v>0</v>
      </c>
      <c r="O123" s="208">
        <f t="shared" si="74"/>
        <v>0</v>
      </c>
      <c r="P123" s="205">
        <f t="shared" si="74"/>
        <v>0</v>
      </c>
      <c r="Q123" s="335"/>
      <c r="R123" s="336"/>
    </row>
    <row r="124" spans="2:18">
      <c r="B124" s="258" t="s">
        <v>437</v>
      </c>
      <c r="C124" s="259" t="s">
        <v>374</v>
      </c>
      <c r="D124" s="342">
        <v>0</v>
      </c>
      <c r="E124" s="208">
        <f>IFERROR($D$124*E175/100, 0)</f>
        <v>0</v>
      </c>
      <c r="F124" s="205">
        <f t="shared" si="55"/>
        <v>0</v>
      </c>
      <c r="G124" s="209">
        <f>IFERROR($D$124*G175/100, 0)</f>
        <v>0</v>
      </c>
      <c r="H124" s="210">
        <f>IFERROR($D$124*H175/100, 0)</f>
        <v>0</v>
      </c>
      <c r="I124" s="211">
        <f>IFERROR($D$124*I175/100, 0)</f>
        <v>0</v>
      </c>
      <c r="J124" s="205">
        <f t="shared" si="71"/>
        <v>0</v>
      </c>
      <c r="K124" s="209">
        <f t="shared" ref="K124:P124" si="75">IFERROR($D$124*K175/100, 0)</f>
        <v>0</v>
      </c>
      <c r="L124" s="210">
        <f t="shared" si="75"/>
        <v>0</v>
      </c>
      <c r="M124" s="210">
        <f t="shared" si="75"/>
        <v>0</v>
      </c>
      <c r="N124" s="207">
        <f t="shared" si="75"/>
        <v>0</v>
      </c>
      <c r="O124" s="208">
        <f t="shared" si="75"/>
        <v>0</v>
      </c>
      <c r="P124" s="205">
        <f t="shared" si="75"/>
        <v>0</v>
      </c>
      <c r="Q124" s="335"/>
      <c r="R124" s="336"/>
    </row>
    <row r="125" spans="2:18">
      <c r="B125" s="258" t="s">
        <v>438</v>
      </c>
      <c r="C125" s="259" t="s">
        <v>376</v>
      </c>
      <c r="D125" s="334">
        <v>0</v>
      </c>
      <c r="E125" s="208">
        <f>IFERROR($D$125*E176/100, 0)</f>
        <v>0</v>
      </c>
      <c r="F125" s="205">
        <f t="shared" si="55"/>
        <v>0</v>
      </c>
      <c r="G125" s="209">
        <f>IFERROR($D$125*G176/100, 0)</f>
        <v>0</v>
      </c>
      <c r="H125" s="210">
        <f>IFERROR($D$125*H176/100, 0)</f>
        <v>0</v>
      </c>
      <c r="I125" s="211">
        <f>IFERROR($D$125*I176/100, 0)</f>
        <v>0</v>
      </c>
      <c r="J125" s="205">
        <f t="shared" si="71"/>
        <v>0</v>
      </c>
      <c r="K125" s="209">
        <f t="shared" ref="K125:P125" si="76">IFERROR($D$125*K176/100, 0)</f>
        <v>0</v>
      </c>
      <c r="L125" s="210">
        <f t="shared" si="76"/>
        <v>0</v>
      </c>
      <c r="M125" s="210">
        <f t="shared" si="76"/>
        <v>0</v>
      </c>
      <c r="N125" s="207">
        <f t="shared" si="76"/>
        <v>0</v>
      </c>
      <c r="O125" s="208">
        <f t="shared" si="76"/>
        <v>0</v>
      </c>
      <c r="P125" s="205">
        <f t="shared" si="76"/>
        <v>0</v>
      </c>
      <c r="Q125" s="335"/>
      <c r="R125" s="336"/>
    </row>
    <row r="126" spans="2:18">
      <c r="B126" s="258" t="s">
        <v>439</v>
      </c>
      <c r="C126" s="259" t="s">
        <v>378</v>
      </c>
      <c r="D126" s="334">
        <v>0</v>
      </c>
      <c r="E126" s="208">
        <f>IFERROR($D$126*E177/100, 0)</f>
        <v>0</v>
      </c>
      <c r="F126" s="205">
        <f t="shared" si="55"/>
        <v>0</v>
      </c>
      <c r="G126" s="209">
        <f>IFERROR($D$126*G177/100, 0)</f>
        <v>0</v>
      </c>
      <c r="H126" s="210">
        <f>IFERROR($D$126*H177/100, 0)</f>
        <v>0</v>
      </c>
      <c r="I126" s="211">
        <f>IFERROR($D$126*I177/100, 0)</f>
        <v>0</v>
      </c>
      <c r="J126" s="205">
        <f t="shared" si="71"/>
        <v>0</v>
      </c>
      <c r="K126" s="209">
        <f t="shared" ref="K126:P126" si="77">IFERROR($D$126*K177/100, 0)</f>
        <v>0</v>
      </c>
      <c r="L126" s="210">
        <f t="shared" si="77"/>
        <v>0</v>
      </c>
      <c r="M126" s="210">
        <f t="shared" si="77"/>
        <v>0</v>
      </c>
      <c r="N126" s="207">
        <f t="shared" si="77"/>
        <v>0</v>
      </c>
      <c r="O126" s="208">
        <f t="shared" si="77"/>
        <v>0</v>
      </c>
      <c r="P126" s="205">
        <f t="shared" si="77"/>
        <v>0</v>
      </c>
      <c r="Q126" s="335"/>
      <c r="R126" s="336"/>
    </row>
    <row r="127" spans="2:18">
      <c r="B127" s="258" t="s">
        <v>440</v>
      </c>
      <c r="C127" s="259" t="s">
        <v>380</v>
      </c>
      <c r="D127" s="334">
        <v>0</v>
      </c>
      <c r="E127" s="208">
        <f>IFERROR($D$127*E178/100, 0)</f>
        <v>0</v>
      </c>
      <c r="F127" s="205">
        <f t="shared" si="55"/>
        <v>0</v>
      </c>
      <c r="G127" s="209">
        <f>IFERROR($D$127*G178/100, 0)</f>
        <v>0</v>
      </c>
      <c r="H127" s="210">
        <f>IFERROR($D$127*H178/100, 0)</f>
        <v>0</v>
      </c>
      <c r="I127" s="211">
        <f>IFERROR($D$127*I178/100, 0)</f>
        <v>0</v>
      </c>
      <c r="J127" s="205">
        <f t="shared" si="71"/>
        <v>0</v>
      </c>
      <c r="K127" s="209">
        <f t="shared" ref="K127:P127" si="78">IFERROR($D$127*K178/100, 0)</f>
        <v>0</v>
      </c>
      <c r="L127" s="210">
        <f t="shared" si="78"/>
        <v>0</v>
      </c>
      <c r="M127" s="210">
        <f t="shared" si="78"/>
        <v>0</v>
      </c>
      <c r="N127" s="207">
        <f t="shared" si="78"/>
        <v>0</v>
      </c>
      <c r="O127" s="208">
        <f t="shared" si="78"/>
        <v>0</v>
      </c>
      <c r="P127" s="205">
        <f t="shared" si="78"/>
        <v>0</v>
      </c>
      <c r="Q127" s="335"/>
      <c r="R127" s="336"/>
    </row>
    <row r="128" spans="2:18">
      <c r="B128" s="258" t="s">
        <v>441</v>
      </c>
      <c r="C128" s="259" t="s">
        <v>382</v>
      </c>
      <c r="D128" s="334">
        <v>0</v>
      </c>
      <c r="E128" s="208">
        <f>IFERROR($D$128*E179/100, 0)</f>
        <v>0</v>
      </c>
      <c r="F128" s="205">
        <f t="shared" si="55"/>
        <v>0</v>
      </c>
      <c r="G128" s="209">
        <f>IFERROR($D$128*G179/100, 0)</f>
        <v>0</v>
      </c>
      <c r="H128" s="210">
        <f>IFERROR($D$128*H179/100, 0)</f>
        <v>0</v>
      </c>
      <c r="I128" s="211">
        <f>IFERROR($D$128*I179/100, 0)</f>
        <v>0</v>
      </c>
      <c r="J128" s="205">
        <f t="shared" si="71"/>
        <v>0</v>
      </c>
      <c r="K128" s="209">
        <f t="shared" ref="K128:P128" si="79">IFERROR($D$128*K179/100, 0)</f>
        <v>0</v>
      </c>
      <c r="L128" s="210">
        <f t="shared" si="79"/>
        <v>0</v>
      </c>
      <c r="M128" s="210">
        <f t="shared" si="79"/>
        <v>0</v>
      </c>
      <c r="N128" s="207">
        <f t="shared" si="79"/>
        <v>0</v>
      </c>
      <c r="O128" s="208">
        <f t="shared" si="79"/>
        <v>0</v>
      </c>
      <c r="P128" s="205">
        <f t="shared" si="79"/>
        <v>0</v>
      </c>
      <c r="Q128" s="335"/>
      <c r="R128" s="336"/>
    </row>
    <row r="129" spans="2:18">
      <c r="B129" s="258" t="s">
        <v>442</v>
      </c>
      <c r="C129" s="259" t="s">
        <v>384</v>
      </c>
      <c r="D129" s="334">
        <v>0</v>
      </c>
      <c r="E129" s="208">
        <f>IFERROR($D$129*E180/100, 0)</f>
        <v>0</v>
      </c>
      <c r="F129" s="205">
        <f t="shared" si="55"/>
        <v>0</v>
      </c>
      <c r="G129" s="209">
        <f>IFERROR($D$129*G180/100, 0)</f>
        <v>0</v>
      </c>
      <c r="H129" s="210">
        <f>IFERROR($D$129*H180/100, 0)</f>
        <v>0</v>
      </c>
      <c r="I129" s="211">
        <f>IFERROR($D$129*I180/100, 0)</f>
        <v>0</v>
      </c>
      <c r="J129" s="205">
        <f t="shared" si="71"/>
        <v>0</v>
      </c>
      <c r="K129" s="209">
        <f t="shared" ref="K129:P129" si="80">IFERROR($D$129*K180/100, 0)</f>
        <v>0</v>
      </c>
      <c r="L129" s="210">
        <f t="shared" si="80"/>
        <v>0</v>
      </c>
      <c r="M129" s="210">
        <f t="shared" si="80"/>
        <v>0</v>
      </c>
      <c r="N129" s="207">
        <f t="shared" si="80"/>
        <v>0</v>
      </c>
      <c r="O129" s="208">
        <f t="shared" si="80"/>
        <v>0</v>
      </c>
      <c r="P129" s="205">
        <f t="shared" si="80"/>
        <v>0</v>
      </c>
      <c r="Q129" s="335"/>
      <c r="R129" s="336"/>
    </row>
    <row r="130" spans="2:18">
      <c r="B130" s="258" t="s">
        <v>443</v>
      </c>
      <c r="C130" s="259" t="s">
        <v>386</v>
      </c>
      <c r="D130" s="334">
        <v>0</v>
      </c>
      <c r="E130" s="208">
        <f>IFERROR($D$130*E181/100, 0)</f>
        <v>0</v>
      </c>
      <c r="F130" s="205">
        <f t="shared" si="55"/>
        <v>0</v>
      </c>
      <c r="G130" s="209">
        <f>IFERROR($D$130*G181/100, 0)</f>
        <v>0</v>
      </c>
      <c r="H130" s="210">
        <f>IFERROR($D$130*H181/100, 0)</f>
        <v>0</v>
      </c>
      <c r="I130" s="211">
        <f>IFERROR($D$130*I181/100, 0)</f>
        <v>0</v>
      </c>
      <c r="J130" s="205">
        <f t="shared" si="71"/>
        <v>0</v>
      </c>
      <c r="K130" s="209">
        <f t="shared" ref="K130:P130" si="81">IFERROR($D$130*K181/100, 0)</f>
        <v>0</v>
      </c>
      <c r="L130" s="210">
        <f t="shared" si="81"/>
        <v>0</v>
      </c>
      <c r="M130" s="210">
        <f t="shared" si="81"/>
        <v>0</v>
      </c>
      <c r="N130" s="207">
        <f t="shared" si="81"/>
        <v>0</v>
      </c>
      <c r="O130" s="208">
        <f t="shared" si="81"/>
        <v>0</v>
      </c>
      <c r="P130" s="205">
        <f t="shared" si="81"/>
        <v>0</v>
      </c>
      <c r="Q130" s="335"/>
      <c r="R130" s="336"/>
    </row>
    <row r="131" spans="2:18">
      <c r="B131" s="258" t="s">
        <v>444</v>
      </c>
      <c r="C131" s="259" t="s">
        <v>388</v>
      </c>
      <c r="D131" s="334">
        <v>0</v>
      </c>
      <c r="E131" s="208">
        <f>IFERROR($D$131*E182/100, 0)</f>
        <v>0</v>
      </c>
      <c r="F131" s="205">
        <f t="shared" si="55"/>
        <v>0</v>
      </c>
      <c r="G131" s="209">
        <f>IFERROR($D$131*G182/100, 0)</f>
        <v>0</v>
      </c>
      <c r="H131" s="210">
        <f>IFERROR($D$131*H182/100, 0)</f>
        <v>0</v>
      </c>
      <c r="I131" s="211">
        <f>IFERROR($D$131*I182/100, 0)</f>
        <v>0</v>
      </c>
      <c r="J131" s="205">
        <f t="shared" si="71"/>
        <v>0</v>
      </c>
      <c r="K131" s="209">
        <f t="shared" ref="K131:P131" si="82">IFERROR($D$131*K182/100, 0)</f>
        <v>0</v>
      </c>
      <c r="L131" s="210">
        <f t="shared" si="82"/>
        <v>0</v>
      </c>
      <c r="M131" s="210">
        <f t="shared" si="82"/>
        <v>0</v>
      </c>
      <c r="N131" s="207">
        <f t="shared" si="82"/>
        <v>0</v>
      </c>
      <c r="O131" s="208">
        <f t="shared" si="82"/>
        <v>0</v>
      </c>
      <c r="P131" s="205">
        <f t="shared" si="82"/>
        <v>0</v>
      </c>
      <c r="Q131" s="335"/>
      <c r="R131" s="336"/>
    </row>
    <row r="132" spans="2:18" ht="15.75" thickBot="1">
      <c r="B132" s="281" t="s">
        <v>445</v>
      </c>
      <c r="C132" s="282" t="s">
        <v>390</v>
      </c>
      <c r="D132" s="344">
        <v>0</v>
      </c>
      <c r="E132" s="345">
        <f>IFERROR($D$132*E183/100, 0)</f>
        <v>0</v>
      </c>
      <c r="F132" s="346">
        <f t="shared" si="55"/>
        <v>0</v>
      </c>
      <c r="G132" s="347">
        <f>IFERROR($D$132*G183/100, 0)</f>
        <v>0</v>
      </c>
      <c r="H132" s="348">
        <f>IFERROR($D$132*H183/100, 0)</f>
        <v>0</v>
      </c>
      <c r="I132" s="349">
        <f>IFERROR($D$132*I183/100, 0)</f>
        <v>0</v>
      </c>
      <c r="J132" s="346">
        <f t="shared" si="71"/>
        <v>0</v>
      </c>
      <c r="K132" s="347">
        <f t="shared" ref="K132:P132" si="83">IFERROR($D$132*K183/100, 0)</f>
        <v>0</v>
      </c>
      <c r="L132" s="348">
        <f t="shared" si="83"/>
        <v>0</v>
      </c>
      <c r="M132" s="348">
        <f t="shared" si="83"/>
        <v>0</v>
      </c>
      <c r="N132" s="350">
        <f t="shared" si="83"/>
        <v>0</v>
      </c>
      <c r="O132" s="345">
        <f t="shared" si="83"/>
        <v>0</v>
      </c>
      <c r="P132" s="346">
        <f t="shared" si="83"/>
        <v>0</v>
      </c>
      <c r="Q132" s="335"/>
      <c r="R132" s="336"/>
    </row>
    <row r="133" spans="2:18" ht="15.75" thickBot="1">
      <c r="B133" s="292" t="s">
        <v>446</v>
      </c>
      <c r="C133" s="293" t="s">
        <v>392</v>
      </c>
      <c r="D133" s="351">
        <v>0</v>
      </c>
      <c r="E133" s="352">
        <f>IFERROR($D$133*E184/100, 0)</f>
        <v>0</v>
      </c>
      <c r="F133" s="296">
        <f t="shared" si="55"/>
        <v>0</v>
      </c>
      <c r="G133" s="353">
        <f>IFERROR($D$133*G184/100, 0)</f>
        <v>0</v>
      </c>
      <c r="H133" s="354">
        <f>IFERROR($D$133*H184/100, 0)</f>
        <v>0</v>
      </c>
      <c r="I133" s="355">
        <f>IFERROR($D$133*I184/100, 0)</f>
        <v>0</v>
      </c>
      <c r="J133" s="296">
        <f t="shared" si="71"/>
        <v>0</v>
      </c>
      <c r="K133" s="353">
        <f t="shared" ref="K133:P133" si="84">IFERROR($D$133*K184/100, 0)</f>
        <v>0</v>
      </c>
      <c r="L133" s="354">
        <f t="shared" si="84"/>
        <v>0</v>
      </c>
      <c r="M133" s="354">
        <f t="shared" si="84"/>
        <v>0</v>
      </c>
      <c r="N133" s="294">
        <f t="shared" si="84"/>
        <v>0</v>
      </c>
      <c r="O133" s="352">
        <f t="shared" si="84"/>
        <v>0</v>
      </c>
      <c r="P133" s="296">
        <f t="shared" si="84"/>
        <v>0</v>
      </c>
      <c r="Q133" s="324"/>
      <c r="R133" s="325"/>
    </row>
    <row r="134" spans="2:18">
      <c r="B134" s="149" t="s">
        <v>447</v>
      </c>
      <c r="C134" s="203" t="s">
        <v>394</v>
      </c>
      <c r="D134" s="337">
        <f>SUM(D135:D140)</f>
        <v>6.62</v>
      </c>
      <c r="E134" s="152">
        <f>SUM(E135:E140)</f>
        <v>0.80102000000000007</v>
      </c>
      <c r="F134" s="153">
        <f t="shared" si="55"/>
        <v>1.670226</v>
      </c>
      <c r="G134" s="154">
        <f>SUM(G135:G140)</f>
        <v>0.82220400000000005</v>
      </c>
      <c r="H134" s="155">
        <f>SUM(H135:H140)</f>
        <v>3.2438000000000002E-2</v>
      </c>
      <c r="I134" s="156">
        <f>SUM(I135:I140)</f>
        <v>0.81558400000000009</v>
      </c>
      <c r="J134" s="153">
        <f t="shared" si="71"/>
        <v>2.5003739999999999</v>
      </c>
      <c r="K134" s="154">
        <f t="shared" ref="K134:P134" si="85">SUM(K135:K140)</f>
        <v>1.149232</v>
      </c>
      <c r="L134" s="155">
        <f t="shared" si="85"/>
        <v>0.92282800000000009</v>
      </c>
      <c r="M134" s="155">
        <f t="shared" si="85"/>
        <v>0.42831400000000003</v>
      </c>
      <c r="N134" s="151">
        <f t="shared" si="85"/>
        <v>0</v>
      </c>
      <c r="O134" s="152">
        <f t="shared" si="85"/>
        <v>0</v>
      </c>
      <c r="P134" s="153">
        <f t="shared" si="85"/>
        <v>1.64838</v>
      </c>
      <c r="Q134" s="324"/>
      <c r="R134" s="325"/>
    </row>
    <row r="135" spans="2:18">
      <c r="B135" s="166" t="s">
        <v>448</v>
      </c>
      <c r="C135" s="356" t="s">
        <v>396</v>
      </c>
      <c r="D135" s="357">
        <v>0</v>
      </c>
      <c r="E135" s="358">
        <f>IFERROR($D$135*E185/100, 0)</f>
        <v>0</v>
      </c>
      <c r="F135" s="307">
        <f t="shared" si="55"/>
        <v>0</v>
      </c>
      <c r="G135" s="359">
        <f>IFERROR($D$135*G185/100, 0)</f>
        <v>0</v>
      </c>
      <c r="H135" s="360">
        <f>IFERROR($D$135*H185/100, 0)</f>
        <v>0</v>
      </c>
      <c r="I135" s="361">
        <f>IFERROR($D$135*I185/100, 0)</f>
        <v>0</v>
      </c>
      <c r="J135" s="307">
        <f t="shared" si="71"/>
        <v>0</v>
      </c>
      <c r="K135" s="359">
        <f t="shared" ref="K135:P135" si="86">IFERROR($D$135*K185/100, 0)</f>
        <v>0</v>
      </c>
      <c r="L135" s="360">
        <f t="shared" si="86"/>
        <v>0</v>
      </c>
      <c r="M135" s="360">
        <f t="shared" si="86"/>
        <v>0</v>
      </c>
      <c r="N135" s="305">
        <f t="shared" si="86"/>
        <v>0</v>
      </c>
      <c r="O135" s="358">
        <f t="shared" si="86"/>
        <v>0</v>
      </c>
      <c r="P135" s="307">
        <f t="shared" si="86"/>
        <v>0</v>
      </c>
      <c r="Q135" s="335"/>
      <c r="R135" s="336"/>
    </row>
    <row r="136" spans="2:18">
      <c r="B136" s="166" t="s">
        <v>449</v>
      </c>
      <c r="C136" s="356" t="s">
        <v>450</v>
      </c>
      <c r="D136" s="357">
        <v>0</v>
      </c>
      <c r="E136" s="358">
        <f>IFERROR($D$136*E185/100, 0)</f>
        <v>0</v>
      </c>
      <c r="F136" s="307">
        <f t="shared" si="55"/>
        <v>0</v>
      </c>
      <c r="G136" s="359">
        <f>IFERROR($D$136*G185/100, 0)</f>
        <v>0</v>
      </c>
      <c r="H136" s="360">
        <f>IFERROR($D$136*H185/100, 0)</f>
        <v>0</v>
      </c>
      <c r="I136" s="361">
        <f>IFERROR($D$136*I185/100, 0)</f>
        <v>0</v>
      </c>
      <c r="J136" s="307">
        <f t="shared" si="71"/>
        <v>0</v>
      </c>
      <c r="K136" s="359">
        <f t="shared" ref="K136:P136" si="87">IFERROR($D$136*K185/100, 0)</f>
        <v>0</v>
      </c>
      <c r="L136" s="360">
        <f t="shared" si="87"/>
        <v>0</v>
      </c>
      <c r="M136" s="360">
        <f t="shared" si="87"/>
        <v>0</v>
      </c>
      <c r="N136" s="305">
        <f t="shared" si="87"/>
        <v>0</v>
      </c>
      <c r="O136" s="358">
        <f t="shared" si="87"/>
        <v>0</v>
      </c>
      <c r="P136" s="307">
        <f t="shared" si="87"/>
        <v>0</v>
      </c>
      <c r="Q136" s="335"/>
      <c r="R136" s="336"/>
    </row>
    <row r="137" spans="2:18">
      <c r="B137" s="258" t="s">
        <v>451</v>
      </c>
      <c r="C137" s="259" t="s">
        <v>400</v>
      </c>
      <c r="D137" s="334">
        <v>0</v>
      </c>
      <c r="E137" s="208">
        <f>IFERROR($D$137*E185/100, 0)</f>
        <v>0</v>
      </c>
      <c r="F137" s="205">
        <f t="shared" si="55"/>
        <v>0</v>
      </c>
      <c r="G137" s="209">
        <f>IFERROR($D$137*G185/100, 0)</f>
        <v>0</v>
      </c>
      <c r="H137" s="210">
        <f>IFERROR($D$137*H185/100, 0)</f>
        <v>0</v>
      </c>
      <c r="I137" s="211">
        <f>IFERROR($D$137*I185/100, 0)</f>
        <v>0</v>
      </c>
      <c r="J137" s="205">
        <f t="shared" si="71"/>
        <v>0</v>
      </c>
      <c r="K137" s="209">
        <f t="shared" ref="K137:P137" si="88">IFERROR($D$137*K185/100, 0)</f>
        <v>0</v>
      </c>
      <c r="L137" s="210">
        <f t="shared" si="88"/>
        <v>0</v>
      </c>
      <c r="M137" s="210">
        <f t="shared" si="88"/>
        <v>0</v>
      </c>
      <c r="N137" s="207">
        <f t="shared" si="88"/>
        <v>0</v>
      </c>
      <c r="O137" s="208">
        <f t="shared" si="88"/>
        <v>0</v>
      </c>
      <c r="P137" s="205">
        <f t="shared" si="88"/>
        <v>0</v>
      </c>
      <c r="Q137" s="335"/>
      <c r="R137" s="336"/>
    </row>
    <row r="138" spans="2:18">
      <c r="B138" s="261" t="s">
        <v>452</v>
      </c>
      <c r="C138" s="249" t="s">
        <v>453</v>
      </c>
      <c r="D138" s="341">
        <v>5.86</v>
      </c>
      <c r="E138" s="214">
        <f>IFERROR($D$138*E185/100, 0)</f>
        <v>0.70906000000000002</v>
      </c>
      <c r="F138" s="215">
        <f t="shared" si="55"/>
        <v>1.478478</v>
      </c>
      <c r="G138" s="216">
        <f>IFERROR($D$138*G185/100, 0)</f>
        <v>0.72781200000000001</v>
      </c>
      <c r="H138" s="217">
        <f>IFERROR($D$138*H185/100, 0)</f>
        <v>2.8714E-2</v>
      </c>
      <c r="I138" s="218">
        <f>IFERROR($D$138*I185/100, 0)</f>
        <v>0.72195200000000004</v>
      </c>
      <c r="J138" s="215">
        <f t="shared" si="71"/>
        <v>2.2133219999999998</v>
      </c>
      <c r="K138" s="216">
        <f t="shared" ref="K138:P138" si="89">IFERROR($D$138*K185/100, 0)</f>
        <v>1.017296</v>
      </c>
      <c r="L138" s="217">
        <f t="shared" si="89"/>
        <v>0.81688400000000005</v>
      </c>
      <c r="M138" s="217">
        <f t="shared" si="89"/>
        <v>0.37914200000000003</v>
      </c>
      <c r="N138" s="213">
        <f t="shared" si="89"/>
        <v>0</v>
      </c>
      <c r="O138" s="214">
        <f t="shared" si="89"/>
        <v>0</v>
      </c>
      <c r="P138" s="215">
        <f t="shared" si="89"/>
        <v>1.4591399999999999</v>
      </c>
      <c r="Q138" s="335"/>
      <c r="R138" s="336"/>
    </row>
    <row r="139" spans="2:18">
      <c r="B139" s="261" t="s">
        <v>454</v>
      </c>
      <c r="C139" s="362" t="s">
        <v>404</v>
      </c>
      <c r="D139" s="341">
        <v>0</v>
      </c>
      <c r="E139" s="214">
        <f>IFERROR($D$139*E185/100, 0)</f>
        <v>0</v>
      </c>
      <c r="F139" s="215">
        <f t="shared" si="55"/>
        <v>0</v>
      </c>
      <c r="G139" s="216">
        <f>IFERROR($D$139*G185/100, 0)</f>
        <v>0</v>
      </c>
      <c r="H139" s="217">
        <f>IFERROR($D$139*H185/100, 0)</f>
        <v>0</v>
      </c>
      <c r="I139" s="218">
        <f>IFERROR($D$139*I185/100, 0)</f>
        <v>0</v>
      </c>
      <c r="J139" s="215">
        <f t="shared" si="71"/>
        <v>0</v>
      </c>
      <c r="K139" s="216">
        <f t="shared" ref="K139:P139" si="90">IFERROR($D$139*K185/100, 0)</f>
        <v>0</v>
      </c>
      <c r="L139" s="217">
        <f t="shared" si="90"/>
        <v>0</v>
      </c>
      <c r="M139" s="217">
        <f t="shared" si="90"/>
        <v>0</v>
      </c>
      <c r="N139" s="213">
        <f t="shared" si="90"/>
        <v>0</v>
      </c>
      <c r="O139" s="214">
        <f t="shared" si="90"/>
        <v>0</v>
      </c>
      <c r="P139" s="215">
        <f t="shared" si="90"/>
        <v>0</v>
      </c>
      <c r="Q139" s="335"/>
      <c r="R139" s="336"/>
    </row>
    <row r="140" spans="2:18" ht="15.75" thickBot="1">
      <c r="B140" s="261" t="s">
        <v>455</v>
      </c>
      <c r="C140" s="362" t="s">
        <v>408</v>
      </c>
      <c r="D140" s="341">
        <v>0.76</v>
      </c>
      <c r="E140" s="214">
        <f>IFERROR($D$140*E185/100, 0)</f>
        <v>9.196E-2</v>
      </c>
      <c r="F140" s="215">
        <f t="shared" si="55"/>
        <v>0.191748</v>
      </c>
      <c r="G140" s="216">
        <f>IFERROR($D$140*G185/100, 0)</f>
        <v>9.439199999999999E-2</v>
      </c>
      <c r="H140" s="217">
        <f>IFERROR($D$140*H185/100, 0)</f>
        <v>3.7239999999999999E-3</v>
      </c>
      <c r="I140" s="218">
        <f>IFERROR($D$140*I185/100, 0)</f>
        <v>9.3632000000000007E-2</v>
      </c>
      <c r="J140" s="215">
        <f t="shared" si="71"/>
        <v>0.28705199999999997</v>
      </c>
      <c r="K140" s="216">
        <f t="shared" ref="K140:P140" si="91">IFERROR($D$140*K185/100, 0)</f>
        <v>0.131936</v>
      </c>
      <c r="L140" s="217">
        <f t="shared" si="91"/>
        <v>0.105944</v>
      </c>
      <c r="M140" s="217">
        <f t="shared" si="91"/>
        <v>4.9172E-2</v>
      </c>
      <c r="N140" s="213">
        <f t="shared" si="91"/>
        <v>0</v>
      </c>
      <c r="O140" s="214">
        <f t="shared" si="91"/>
        <v>0</v>
      </c>
      <c r="P140" s="215">
        <f t="shared" si="91"/>
        <v>0.18923999999999999</v>
      </c>
      <c r="Q140" s="335"/>
      <c r="R140" s="336"/>
    </row>
    <row r="141" spans="2:18" ht="119.25" customHeight="1" thickBot="1">
      <c r="B141" s="123" t="s">
        <v>63</v>
      </c>
      <c r="C141" s="124" t="s">
        <v>456</v>
      </c>
      <c r="D141" s="124" t="s">
        <v>457</v>
      </c>
      <c r="E141" s="125" t="s">
        <v>256</v>
      </c>
      <c r="F141" s="126" t="s">
        <v>257</v>
      </c>
      <c r="G141" s="127" t="s">
        <v>258</v>
      </c>
      <c r="H141" s="128" t="s">
        <v>259</v>
      </c>
      <c r="I141" s="129" t="s">
        <v>260</v>
      </c>
      <c r="J141" s="130" t="s">
        <v>261</v>
      </c>
      <c r="K141" s="127" t="s">
        <v>262</v>
      </c>
      <c r="L141" s="128" t="s">
        <v>263</v>
      </c>
      <c r="M141" s="129" t="s">
        <v>264</v>
      </c>
      <c r="N141" s="132" t="s">
        <v>265</v>
      </c>
      <c r="O141" s="125" t="s">
        <v>458</v>
      </c>
      <c r="P141" s="126" t="s">
        <v>459</v>
      </c>
    </row>
    <row r="142" spans="2:18">
      <c r="B142" s="363" t="s">
        <v>65</v>
      </c>
      <c r="C142" s="364" t="s">
        <v>460</v>
      </c>
      <c r="D142" s="365"/>
      <c r="E142" s="366"/>
      <c r="F142" s="367"/>
      <c r="G142" s="366"/>
      <c r="H142" s="366"/>
      <c r="I142" s="366"/>
      <c r="J142" s="367"/>
      <c r="K142" s="366"/>
      <c r="L142" s="366"/>
      <c r="M142" s="366"/>
      <c r="N142" s="366"/>
      <c r="O142" s="366"/>
      <c r="P142" s="366"/>
    </row>
    <row r="143" spans="2:18" ht="25.5">
      <c r="B143" s="363">
        <v>1</v>
      </c>
      <c r="C143" s="364" t="s">
        <v>272</v>
      </c>
      <c r="D143" s="368">
        <f>E143+F143+J143+N143+O143+P143</f>
        <v>99.999999999999986</v>
      </c>
      <c r="E143" s="369">
        <v>12.103999999999999</v>
      </c>
      <c r="F143" s="370">
        <f>SUM(G143:I143)</f>
        <v>25.222000000000001</v>
      </c>
      <c r="G143" s="369">
        <v>12.385</v>
      </c>
      <c r="H143" s="369">
        <v>0.48499999999999999</v>
      </c>
      <c r="I143" s="369">
        <v>12.352</v>
      </c>
      <c r="J143" s="370">
        <f>SUM(K143:M143)</f>
        <v>37.772999999999996</v>
      </c>
      <c r="K143" s="369">
        <v>17.359000000000002</v>
      </c>
      <c r="L143" s="369">
        <v>13.943</v>
      </c>
      <c r="M143" s="369">
        <v>6.4710000000000001</v>
      </c>
      <c r="N143" s="369">
        <v>0</v>
      </c>
      <c r="O143" s="369">
        <v>0</v>
      </c>
      <c r="P143" s="369">
        <v>24.901</v>
      </c>
    </row>
    <row r="144" spans="2:18" ht="15.75" thickBot="1">
      <c r="B144" s="371">
        <v>2</v>
      </c>
      <c r="C144" s="167" t="s">
        <v>306</v>
      </c>
      <c r="D144" s="372">
        <f>E144+F144+J144+N144+O144+P144</f>
        <v>99.999999999999986</v>
      </c>
      <c r="E144" s="373">
        <v>12.103999999999999</v>
      </c>
      <c r="F144" s="374">
        <f>SUM(G144:I144)</f>
        <v>25.222000000000001</v>
      </c>
      <c r="G144" s="373">
        <v>12.385</v>
      </c>
      <c r="H144" s="373">
        <v>0.48499999999999999</v>
      </c>
      <c r="I144" s="373">
        <v>12.352</v>
      </c>
      <c r="J144" s="374">
        <f>SUM(K144:M144)</f>
        <v>37.772999999999996</v>
      </c>
      <c r="K144" s="373">
        <v>17.359000000000002</v>
      </c>
      <c r="L144" s="373">
        <v>13.943</v>
      </c>
      <c r="M144" s="373">
        <v>6.4710000000000001</v>
      </c>
      <c r="N144" s="373">
        <v>0</v>
      </c>
      <c r="O144" s="373">
        <v>0</v>
      </c>
      <c r="P144" s="373">
        <v>24.901</v>
      </c>
    </row>
    <row r="145" spans="2:16">
      <c r="B145" s="375" t="s">
        <v>69</v>
      </c>
      <c r="C145" s="376" t="s">
        <v>461</v>
      </c>
      <c r="D145" s="365"/>
      <c r="E145" s="377"/>
      <c r="F145" s="378"/>
      <c r="G145" s="377"/>
      <c r="H145" s="377"/>
      <c r="I145" s="377"/>
      <c r="J145" s="378"/>
      <c r="K145" s="377"/>
      <c r="L145" s="377"/>
      <c r="M145" s="377"/>
      <c r="N145" s="377"/>
      <c r="O145" s="377"/>
      <c r="P145" s="377"/>
    </row>
    <row r="146" spans="2:16" ht="28.5" customHeight="1">
      <c r="B146" s="379">
        <v>1</v>
      </c>
      <c r="C146" s="380" t="s">
        <v>315</v>
      </c>
      <c r="D146" s="368">
        <f>E146+F146+J146+N146+O146+P146</f>
        <v>99.999999999999986</v>
      </c>
      <c r="E146" s="369">
        <v>12.103999999999999</v>
      </c>
      <c r="F146" s="370">
        <f>SUM(G146:I146)</f>
        <v>25.222000000000001</v>
      </c>
      <c r="G146" s="369">
        <v>12.385</v>
      </c>
      <c r="H146" s="369">
        <v>0.48499999999999999</v>
      </c>
      <c r="I146" s="369">
        <v>12.352</v>
      </c>
      <c r="J146" s="370">
        <f>SUM(K146:M146)</f>
        <v>37.772999999999996</v>
      </c>
      <c r="K146" s="369">
        <v>17.359000000000002</v>
      </c>
      <c r="L146" s="369">
        <v>13.943</v>
      </c>
      <c r="M146" s="369">
        <v>6.4710000000000001</v>
      </c>
      <c r="N146" s="369">
        <v>0</v>
      </c>
      <c r="O146" s="369">
        <v>0</v>
      </c>
      <c r="P146" s="369">
        <v>24.901</v>
      </c>
    </row>
    <row r="147" spans="2:16" ht="15.75" thickBot="1">
      <c r="B147" s="381">
        <v>2</v>
      </c>
      <c r="C147" s="382" t="s">
        <v>317</v>
      </c>
      <c r="D147" s="372">
        <f>E147+F147+J147+N147+O147+P147</f>
        <v>99.998999999999995</v>
      </c>
      <c r="E147" s="373">
        <v>12.103999999999999</v>
      </c>
      <c r="F147" s="374">
        <f>SUM(G147:I147)</f>
        <v>25.222000000000001</v>
      </c>
      <c r="G147" s="373">
        <v>12.385</v>
      </c>
      <c r="H147" s="373">
        <v>0.48499999999999999</v>
      </c>
      <c r="I147" s="373">
        <v>12.352</v>
      </c>
      <c r="J147" s="374">
        <f>SUM(K147:M147)</f>
        <v>37.772999999999996</v>
      </c>
      <c r="K147" s="373">
        <v>17.359000000000002</v>
      </c>
      <c r="L147" s="373">
        <v>13.943</v>
      </c>
      <c r="M147" s="373">
        <v>6.4710000000000001</v>
      </c>
      <c r="N147" s="373">
        <v>0</v>
      </c>
      <c r="O147" s="373">
        <v>0</v>
      </c>
      <c r="P147" s="373">
        <v>24.9</v>
      </c>
    </row>
    <row r="148" spans="2:16">
      <c r="B148" s="375" t="s">
        <v>71</v>
      </c>
      <c r="C148" s="376" t="s">
        <v>462</v>
      </c>
      <c r="D148" s="365"/>
      <c r="E148" s="377"/>
      <c r="F148" s="378"/>
      <c r="G148" s="377"/>
      <c r="H148" s="377"/>
      <c r="I148" s="377"/>
      <c r="J148" s="378"/>
      <c r="K148" s="377"/>
      <c r="L148" s="377"/>
      <c r="M148" s="377"/>
      <c r="N148" s="377"/>
      <c r="O148" s="377"/>
      <c r="P148" s="377"/>
    </row>
    <row r="149" spans="2:16" ht="15.75" thickBot="1">
      <c r="B149" s="381">
        <v>1</v>
      </c>
      <c r="C149" s="382" t="s">
        <v>321</v>
      </c>
      <c r="D149" s="372">
        <f>E149+F149+J149+N149+O149+P149</f>
        <v>99.999999999999986</v>
      </c>
      <c r="E149" s="373">
        <v>12.103999999999999</v>
      </c>
      <c r="F149" s="374">
        <f>SUM(G149:I149)</f>
        <v>25.222000000000001</v>
      </c>
      <c r="G149" s="373">
        <v>12.385</v>
      </c>
      <c r="H149" s="373">
        <v>0.48499999999999999</v>
      </c>
      <c r="I149" s="373">
        <v>12.352</v>
      </c>
      <c r="J149" s="374">
        <f>SUM(K149:M149)</f>
        <v>37.772999999999996</v>
      </c>
      <c r="K149" s="373">
        <v>17.359000000000002</v>
      </c>
      <c r="L149" s="373">
        <v>13.943</v>
      </c>
      <c r="M149" s="373">
        <v>6.4710000000000001</v>
      </c>
      <c r="N149" s="373">
        <v>0</v>
      </c>
      <c r="O149" s="373">
        <v>0</v>
      </c>
      <c r="P149" s="373">
        <v>24.901</v>
      </c>
    </row>
    <row r="150" spans="2:16">
      <c r="B150" s="375" t="s">
        <v>73</v>
      </c>
      <c r="C150" s="376" t="s">
        <v>463</v>
      </c>
      <c r="D150" s="365"/>
      <c r="E150" s="377"/>
      <c r="F150" s="378"/>
      <c r="G150" s="377"/>
      <c r="H150" s="377"/>
      <c r="I150" s="377"/>
      <c r="J150" s="378"/>
      <c r="K150" s="377"/>
      <c r="L150" s="377"/>
      <c r="M150" s="377"/>
      <c r="N150" s="377"/>
      <c r="O150" s="377"/>
      <c r="P150" s="377"/>
    </row>
    <row r="151" spans="2:16">
      <c r="B151" s="379">
        <v>1</v>
      </c>
      <c r="C151" s="380" t="s">
        <v>277</v>
      </c>
      <c r="D151" s="368">
        <f t="shared" ref="D151:D156" si="92">E151+F151+J151+N151+O151+P151</f>
        <v>99.999999999999986</v>
      </c>
      <c r="E151" s="369">
        <v>12.103999999999999</v>
      </c>
      <c r="F151" s="370">
        <f t="shared" ref="F151:F156" si="93">SUM(G151:I151)</f>
        <v>25.222000000000001</v>
      </c>
      <c r="G151" s="369">
        <v>12.385</v>
      </c>
      <c r="H151" s="369">
        <v>0.48499999999999999</v>
      </c>
      <c r="I151" s="369">
        <v>12.352</v>
      </c>
      <c r="J151" s="370">
        <f t="shared" ref="J151:J156" si="94">SUM(K151:M151)</f>
        <v>37.772999999999996</v>
      </c>
      <c r="K151" s="369">
        <v>17.359000000000002</v>
      </c>
      <c r="L151" s="369">
        <v>13.943</v>
      </c>
      <c r="M151" s="369">
        <v>6.4710000000000001</v>
      </c>
      <c r="N151" s="369">
        <v>0</v>
      </c>
      <c r="O151" s="369">
        <v>0</v>
      </c>
      <c r="P151" s="369">
        <v>24.901</v>
      </c>
    </row>
    <row r="152" spans="2:16">
      <c r="B152" s="379">
        <v>2</v>
      </c>
      <c r="C152" s="380" t="s">
        <v>281</v>
      </c>
      <c r="D152" s="368">
        <f t="shared" si="92"/>
        <v>99.999999999999986</v>
      </c>
      <c r="E152" s="369">
        <v>12.103999999999999</v>
      </c>
      <c r="F152" s="370">
        <f t="shared" si="93"/>
        <v>25.222000000000001</v>
      </c>
      <c r="G152" s="369">
        <v>12.385</v>
      </c>
      <c r="H152" s="369">
        <v>0.48499999999999999</v>
      </c>
      <c r="I152" s="369">
        <v>12.352</v>
      </c>
      <c r="J152" s="370">
        <f t="shared" si="94"/>
        <v>37.772999999999996</v>
      </c>
      <c r="K152" s="369">
        <v>17.359000000000002</v>
      </c>
      <c r="L152" s="369">
        <v>13.943</v>
      </c>
      <c r="M152" s="369">
        <v>6.4710000000000001</v>
      </c>
      <c r="N152" s="369">
        <v>0</v>
      </c>
      <c r="O152" s="369">
        <v>0</v>
      </c>
      <c r="P152" s="369">
        <v>24.901</v>
      </c>
    </row>
    <row r="153" spans="2:16">
      <c r="B153" s="379">
        <v>3</v>
      </c>
      <c r="C153" s="380" t="s">
        <v>464</v>
      </c>
      <c r="D153" s="368">
        <f t="shared" si="92"/>
        <v>99.999999999999986</v>
      </c>
      <c r="E153" s="369">
        <v>12.103999999999999</v>
      </c>
      <c r="F153" s="370">
        <f t="shared" si="93"/>
        <v>25.222000000000001</v>
      </c>
      <c r="G153" s="369">
        <v>12.385</v>
      </c>
      <c r="H153" s="369">
        <v>0.48499999999999999</v>
      </c>
      <c r="I153" s="369">
        <v>12.352</v>
      </c>
      <c r="J153" s="370">
        <f t="shared" si="94"/>
        <v>37.772999999999996</v>
      </c>
      <c r="K153" s="369">
        <v>17.359000000000002</v>
      </c>
      <c r="L153" s="369">
        <v>13.943</v>
      </c>
      <c r="M153" s="369">
        <v>6.4710000000000001</v>
      </c>
      <c r="N153" s="369">
        <v>0</v>
      </c>
      <c r="O153" s="369">
        <v>0</v>
      </c>
      <c r="P153" s="369">
        <v>24.901</v>
      </c>
    </row>
    <row r="154" spans="2:16">
      <c r="B154" s="379">
        <v>4</v>
      </c>
      <c r="C154" s="380" t="s">
        <v>465</v>
      </c>
      <c r="D154" s="368">
        <f t="shared" si="92"/>
        <v>99.999999999999986</v>
      </c>
      <c r="E154" s="369">
        <v>12.103999999999999</v>
      </c>
      <c r="F154" s="370">
        <f t="shared" si="93"/>
        <v>25.222000000000001</v>
      </c>
      <c r="G154" s="369">
        <v>12.385</v>
      </c>
      <c r="H154" s="369">
        <v>0.48499999999999999</v>
      </c>
      <c r="I154" s="369">
        <v>12.352</v>
      </c>
      <c r="J154" s="370">
        <f t="shared" si="94"/>
        <v>37.772999999999996</v>
      </c>
      <c r="K154" s="369">
        <v>17.359000000000002</v>
      </c>
      <c r="L154" s="369">
        <v>13.943</v>
      </c>
      <c r="M154" s="369">
        <v>6.4710000000000001</v>
      </c>
      <c r="N154" s="369">
        <v>0</v>
      </c>
      <c r="O154" s="369">
        <v>0</v>
      </c>
      <c r="P154" s="369">
        <v>24.901</v>
      </c>
    </row>
    <row r="155" spans="2:16" ht="30" customHeight="1" thickBot="1">
      <c r="B155" s="381">
        <v>5</v>
      </c>
      <c r="C155" s="382" t="s">
        <v>330</v>
      </c>
      <c r="D155" s="372">
        <f t="shared" si="92"/>
        <v>99.999999999999986</v>
      </c>
      <c r="E155" s="373">
        <v>12.103999999999999</v>
      </c>
      <c r="F155" s="374">
        <f t="shared" si="93"/>
        <v>25.222000000000001</v>
      </c>
      <c r="G155" s="373">
        <v>12.385</v>
      </c>
      <c r="H155" s="373">
        <v>0.48499999999999999</v>
      </c>
      <c r="I155" s="373">
        <v>12.352</v>
      </c>
      <c r="J155" s="374">
        <f t="shared" si="94"/>
        <v>37.772999999999996</v>
      </c>
      <c r="K155" s="373">
        <v>17.359000000000002</v>
      </c>
      <c r="L155" s="373">
        <v>13.943</v>
      </c>
      <c r="M155" s="373">
        <v>6.4710000000000001</v>
      </c>
      <c r="N155" s="373">
        <v>0</v>
      </c>
      <c r="O155" s="373">
        <v>0</v>
      </c>
      <c r="P155" s="373">
        <v>24.901</v>
      </c>
    </row>
    <row r="156" spans="2:16" ht="15.75" thickBot="1">
      <c r="B156" s="383" t="s">
        <v>75</v>
      </c>
      <c r="C156" s="384" t="s">
        <v>332</v>
      </c>
      <c r="D156" s="385">
        <f t="shared" si="92"/>
        <v>99.999000000000009</v>
      </c>
      <c r="E156" s="386">
        <v>8.875</v>
      </c>
      <c r="F156" s="387">
        <f t="shared" si="93"/>
        <v>47.54</v>
      </c>
      <c r="G156" s="386">
        <v>7.2649999999999997</v>
      </c>
      <c r="H156" s="386">
        <v>2.855</v>
      </c>
      <c r="I156" s="386">
        <v>37.42</v>
      </c>
      <c r="J156" s="387">
        <f t="shared" si="94"/>
        <v>40.254000000000005</v>
      </c>
      <c r="K156" s="386">
        <v>34.042000000000002</v>
      </c>
      <c r="L156" s="386">
        <v>6.0540000000000003</v>
      </c>
      <c r="M156" s="386">
        <v>0.158</v>
      </c>
      <c r="N156" s="386">
        <v>0</v>
      </c>
      <c r="O156" s="386">
        <v>0</v>
      </c>
      <c r="P156" s="386">
        <v>3.33</v>
      </c>
    </row>
    <row r="157" spans="2:16">
      <c r="B157" s="375" t="s">
        <v>466</v>
      </c>
      <c r="C157" s="376" t="s">
        <v>467</v>
      </c>
      <c r="D157" s="365"/>
      <c r="E157" s="377"/>
      <c r="F157" s="378"/>
      <c r="G157" s="377"/>
      <c r="H157" s="377"/>
      <c r="I157" s="377"/>
      <c r="J157" s="378"/>
      <c r="K157" s="377"/>
      <c r="L157" s="377"/>
      <c r="M157" s="377"/>
      <c r="N157" s="377"/>
      <c r="O157" s="377"/>
      <c r="P157" s="377"/>
    </row>
    <row r="158" spans="2:16">
      <c r="B158" s="379">
        <v>1</v>
      </c>
      <c r="C158" s="380" t="s">
        <v>285</v>
      </c>
      <c r="D158" s="368">
        <f>E158+F158+J158+N158+O158+P158</f>
        <v>99.999999999999986</v>
      </c>
      <c r="E158" s="369">
        <v>12.103999999999999</v>
      </c>
      <c r="F158" s="370">
        <f>SUM(G158:I158)</f>
        <v>25.222000000000001</v>
      </c>
      <c r="G158" s="369">
        <v>12.385</v>
      </c>
      <c r="H158" s="369">
        <v>0.48499999999999999</v>
      </c>
      <c r="I158" s="369">
        <v>12.352</v>
      </c>
      <c r="J158" s="370">
        <f>SUM(K158:M158)</f>
        <v>37.772999999999996</v>
      </c>
      <c r="K158" s="369">
        <v>17.359000000000002</v>
      </c>
      <c r="L158" s="369">
        <v>13.943</v>
      </c>
      <c r="M158" s="369">
        <v>6.4710000000000001</v>
      </c>
      <c r="N158" s="369">
        <v>0</v>
      </c>
      <c r="O158" s="369">
        <v>0</v>
      </c>
      <c r="P158" s="369">
        <v>24.901</v>
      </c>
    </row>
    <row r="159" spans="2:16">
      <c r="B159" s="379">
        <v>2</v>
      </c>
      <c r="C159" s="388" t="s">
        <v>338</v>
      </c>
      <c r="D159" s="368">
        <f>E159+F159+J159+N159+O159+P159</f>
        <v>99.999999999999986</v>
      </c>
      <c r="E159" s="369">
        <v>12.103999999999999</v>
      </c>
      <c r="F159" s="370">
        <f>SUM(G159:I159)</f>
        <v>25.222000000000001</v>
      </c>
      <c r="G159" s="369">
        <v>12.385</v>
      </c>
      <c r="H159" s="369">
        <v>0.48499999999999999</v>
      </c>
      <c r="I159" s="369">
        <v>12.352</v>
      </c>
      <c r="J159" s="370">
        <f>SUM(K159:M159)</f>
        <v>37.772999999999996</v>
      </c>
      <c r="K159" s="369">
        <v>17.359000000000002</v>
      </c>
      <c r="L159" s="369">
        <v>13.943</v>
      </c>
      <c r="M159" s="369">
        <v>6.4710000000000001</v>
      </c>
      <c r="N159" s="369">
        <v>0</v>
      </c>
      <c r="O159" s="369">
        <v>0</v>
      </c>
      <c r="P159" s="369">
        <v>24.901</v>
      </c>
    </row>
    <row r="160" spans="2:16">
      <c r="B160" s="379">
        <v>3</v>
      </c>
      <c r="C160" s="380" t="s">
        <v>468</v>
      </c>
      <c r="D160" s="368">
        <f>E160+F160+J160+N160+O160+P160</f>
        <v>99.999999999999986</v>
      </c>
      <c r="E160" s="369">
        <v>12.103999999999999</v>
      </c>
      <c r="F160" s="370">
        <f>SUM(G160:I160)</f>
        <v>25.222000000000001</v>
      </c>
      <c r="G160" s="369">
        <v>12.385</v>
      </c>
      <c r="H160" s="369">
        <v>0.48499999999999999</v>
      </c>
      <c r="I160" s="369">
        <v>12.352</v>
      </c>
      <c r="J160" s="370">
        <f>SUM(K160:M160)</f>
        <v>37.772999999999996</v>
      </c>
      <c r="K160" s="369">
        <v>17.359000000000002</v>
      </c>
      <c r="L160" s="369">
        <v>13.943</v>
      </c>
      <c r="M160" s="369">
        <v>6.4710000000000001</v>
      </c>
      <c r="N160" s="369">
        <v>0</v>
      </c>
      <c r="O160" s="369">
        <v>0</v>
      </c>
      <c r="P160" s="369">
        <v>24.901</v>
      </c>
    </row>
    <row r="161" spans="2:16" ht="15.75" thickBot="1">
      <c r="B161" s="381">
        <v>4</v>
      </c>
      <c r="C161" s="382" t="s">
        <v>469</v>
      </c>
      <c r="D161" s="372">
        <f>E161+F161+J161+N161+O161+P161</f>
        <v>99.999999999999986</v>
      </c>
      <c r="E161" s="373">
        <v>12.103999999999999</v>
      </c>
      <c r="F161" s="374">
        <f>SUM(G161:I161)</f>
        <v>25.222000000000001</v>
      </c>
      <c r="G161" s="373">
        <v>12.385</v>
      </c>
      <c r="H161" s="373">
        <v>0.48499999999999999</v>
      </c>
      <c r="I161" s="373">
        <v>12.352</v>
      </c>
      <c r="J161" s="374">
        <f>SUM(K161:M161)</f>
        <v>37.772999999999996</v>
      </c>
      <c r="K161" s="373">
        <v>17.359000000000002</v>
      </c>
      <c r="L161" s="373">
        <v>13.943</v>
      </c>
      <c r="M161" s="373">
        <v>6.4710000000000001</v>
      </c>
      <c r="N161" s="373">
        <v>0</v>
      </c>
      <c r="O161" s="373">
        <v>0</v>
      </c>
      <c r="P161" s="373">
        <v>24.901</v>
      </c>
    </row>
    <row r="162" spans="2:16">
      <c r="B162" s="375" t="s">
        <v>470</v>
      </c>
      <c r="C162" s="376" t="s">
        <v>471</v>
      </c>
      <c r="D162" s="365"/>
      <c r="E162" s="377"/>
      <c r="F162" s="378"/>
      <c r="G162" s="377"/>
      <c r="H162" s="377"/>
      <c r="I162" s="377"/>
      <c r="J162" s="378"/>
      <c r="K162" s="377"/>
      <c r="L162" s="377"/>
      <c r="M162" s="377"/>
      <c r="N162" s="377"/>
      <c r="O162" s="377"/>
      <c r="P162" s="377"/>
    </row>
    <row r="163" spans="2:16">
      <c r="B163" s="379">
        <v>1</v>
      </c>
      <c r="C163" s="380" t="s">
        <v>472</v>
      </c>
      <c r="D163" s="368">
        <f>E163+F163+J163+N163+O163+P163</f>
        <v>99.999999999999986</v>
      </c>
      <c r="E163" s="369">
        <v>12.103999999999999</v>
      </c>
      <c r="F163" s="370">
        <f>SUM(G163:I163)</f>
        <v>25.222000000000001</v>
      </c>
      <c r="G163" s="369">
        <v>12.385</v>
      </c>
      <c r="H163" s="369">
        <v>0.48499999999999999</v>
      </c>
      <c r="I163" s="369">
        <v>12.352</v>
      </c>
      <c r="J163" s="370">
        <f>SUM(K163:M163)</f>
        <v>37.772999999999996</v>
      </c>
      <c r="K163" s="369">
        <v>17.359000000000002</v>
      </c>
      <c r="L163" s="369">
        <v>13.943</v>
      </c>
      <c r="M163" s="369">
        <v>6.4710000000000001</v>
      </c>
      <c r="N163" s="369">
        <v>0</v>
      </c>
      <c r="O163" s="369">
        <v>0</v>
      </c>
      <c r="P163" s="369">
        <v>24.901</v>
      </c>
    </row>
    <row r="164" spans="2:16">
      <c r="B164" s="381">
        <v>2</v>
      </c>
      <c r="C164" s="382" t="s">
        <v>473</v>
      </c>
      <c r="D164" s="368">
        <f>E164+F164+J164+N164+O164+P164</f>
        <v>99.999999999999986</v>
      </c>
      <c r="E164" s="389">
        <v>12.103999999999999</v>
      </c>
      <c r="F164" s="370">
        <f>SUM(G164:I164)</f>
        <v>25.222000000000001</v>
      </c>
      <c r="G164" s="389">
        <v>12.385</v>
      </c>
      <c r="H164" s="389">
        <v>0.48499999999999999</v>
      </c>
      <c r="I164" s="389">
        <v>12.352</v>
      </c>
      <c r="J164" s="370">
        <f>SUM(K164:M164)</f>
        <v>37.772999999999996</v>
      </c>
      <c r="K164" s="389">
        <v>17.359000000000002</v>
      </c>
      <c r="L164" s="389">
        <v>13.943</v>
      </c>
      <c r="M164" s="389">
        <v>6.4710000000000001</v>
      </c>
      <c r="N164" s="389">
        <v>0</v>
      </c>
      <c r="O164" s="389">
        <v>0</v>
      </c>
      <c r="P164" s="389">
        <v>24.901</v>
      </c>
    </row>
    <row r="165" spans="2:16" ht="15.75" thickBot="1">
      <c r="B165" s="381">
        <v>3</v>
      </c>
      <c r="C165" s="382" t="s">
        <v>354</v>
      </c>
      <c r="D165" s="372">
        <f>E165+F165+J165+N165+O165+P165</f>
        <v>99.999999999999986</v>
      </c>
      <c r="E165" s="373">
        <v>12.103999999999999</v>
      </c>
      <c r="F165" s="374">
        <f>SUM(G165:I165)</f>
        <v>25.222000000000001</v>
      </c>
      <c r="G165" s="373">
        <v>12.385</v>
      </c>
      <c r="H165" s="373">
        <v>0.48499999999999999</v>
      </c>
      <c r="I165" s="373">
        <v>12.352</v>
      </c>
      <c r="J165" s="374">
        <f>SUM(K165:M165)</f>
        <v>37.772999999999996</v>
      </c>
      <c r="K165" s="373">
        <v>17.359000000000002</v>
      </c>
      <c r="L165" s="373">
        <v>13.943</v>
      </c>
      <c r="M165" s="373">
        <v>6.4710000000000001</v>
      </c>
      <c r="N165" s="373">
        <v>0</v>
      </c>
      <c r="O165" s="373">
        <v>0</v>
      </c>
      <c r="P165" s="373">
        <v>24.901</v>
      </c>
    </row>
    <row r="166" spans="2:16">
      <c r="B166" s="375" t="s">
        <v>474</v>
      </c>
      <c r="C166" s="376" t="s">
        <v>475</v>
      </c>
      <c r="D166" s="365"/>
      <c r="E166" s="377"/>
      <c r="F166" s="378"/>
      <c r="G166" s="377"/>
      <c r="H166" s="377"/>
      <c r="I166" s="377"/>
      <c r="J166" s="378"/>
      <c r="K166" s="377"/>
      <c r="L166" s="377"/>
      <c r="M166" s="377"/>
      <c r="N166" s="377"/>
      <c r="O166" s="377"/>
      <c r="P166" s="377"/>
    </row>
    <row r="167" spans="2:16">
      <c r="B167" s="379">
        <v>1</v>
      </c>
      <c r="C167" s="380" t="s">
        <v>476</v>
      </c>
      <c r="D167" s="368">
        <f>E167+F167+J167+N167+O167+P167</f>
        <v>100</v>
      </c>
      <c r="E167" s="369">
        <v>12.1</v>
      </c>
      <c r="F167" s="370">
        <f>SUM(G167:I167)</f>
        <v>25.23</v>
      </c>
      <c r="G167" s="369">
        <v>12.42</v>
      </c>
      <c r="H167" s="369">
        <v>0.49</v>
      </c>
      <c r="I167" s="369">
        <v>12.32</v>
      </c>
      <c r="J167" s="370">
        <f>SUM(K167:M167)</f>
        <v>37.769999999999996</v>
      </c>
      <c r="K167" s="369">
        <v>17.36</v>
      </c>
      <c r="L167" s="369">
        <v>13.94</v>
      </c>
      <c r="M167" s="369">
        <v>6.47</v>
      </c>
      <c r="N167" s="369">
        <v>0</v>
      </c>
      <c r="O167" s="369">
        <v>0</v>
      </c>
      <c r="P167" s="369">
        <v>24.9</v>
      </c>
    </row>
    <row r="168" spans="2:16" ht="15.75" thickBot="1">
      <c r="B168" s="381">
        <v>2</v>
      </c>
      <c r="C168" s="382" t="s">
        <v>477</v>
      </c>
      <c r="D168" s="372">
        <f>E168+F168+J168+N168+O168+P168</f>
        <v>100</v>
      </c>
      <c r="E168" s="373">
        <v>12.1</v>
      </c>
      <c r="F168" s="374">
        <f>SUM(G168:I168)</f>
        <v>25.23</v>
      </c>
      <c r="G168" s="373">
        <v>12.42</v>
      </c>
      <c r="H168" s="373">
        <v>0.49</v>
      </c>
      <c r="I168" s="373">
        <v>12.32</v>
      </c>
      <c r="J168" s="374">
        <f>SUM(K168:M168)</f>
        <v>37.769999999999996</v>
      </c>
      <c r="K168" s="373">
        <v>17.36</v>
      </c>
      <c r="L168" s="373">
        <v>13.94</v>
      </c>
      <c r="M168" s="373">
        <v>6.47</v>
      </c>
      <c r="N168" s="373">
        <v>0</v>
      </c>
      <c r="O168" s="373">
        <v>0</v>
      </c>
      <c r="P168" s="373">
        <v>24.9</v>
      </c>
    </row>
    <row r="169" spans="2:16">
      <c r="B169" s="375" t="s">
        <v>478</v>
      </c>
      <c r="C169" s="376" t="s">
        <v>479</v>
      </c>
      <c r="D169" s="365"/>
      <c r="E169" s="377"/>
      <c r="F169" s="378"/>
      <c r="G169" s="377"/>
      <c r="H169" s="377"/>
      <c r="I169" s="377"/>
      <c r="J169" s="378"/>
      <c r="K169" s="377"/>
      <c r="L169" s="377"/>
      <c r="M169" s="377"/>
      <c r="N169" s="377"/>
      <c r="O169" s="377"/>
      <c r="P169" s="377"/>
    </row>
    <row r="170" spans="2:16">
      <c r="B170" s="379">
        <v>1</v>
      </c>
      <c r="C170" s="380" t="s">
        <v>480</v>
      </c>
      <c r="D170" s="368">
        <f t="shared" ref="D170:D185" si="95">E170+F170+J170+N170+O170+P170</f>
        <v>100</v>
      </c>
      <c r="E170" s="369">
        <v>12.1</v>
      </c>
      <c r="F170" s="370">
        <f t="shared" ref="F170:F185" si="96">SUM(G170:I170)</f>
        <v>25.23</v>
      </c>
      <c r="G170" s="369">
        <v>12.42</v>
      </c>
      <c r="H170" s="369">
        <v>0.49</v>
      </c>
      <c r="I170" s="369">
        <v>12.32</v>
      </c>
      <c r="J170" s="370">
        <f t="shared" ref="J170:J185" si="97">SUM(K170:M170)</f>
        <v>37.769999999999996</v>
      </c>
      <c r="K170" s="369">
        <v>17.36</v>
      </c>
      <c r="L170" s="369">
        <v>13.94</v>
      </c>
      <c r="M170" s="369">
        <v>6.47</v>
      </c>
      <c r="N170" s="369">
        <v>0</v>
      </c>
      <c r="O170" s="369">
        <v>0</v>
      </c>
      <c r="P170" s="369">
        <v>24.9</v>
      </c>
    </row>
    <row r="171" spans="2:16">
      <c r="B171" s="379">
        <v>2</v>
      </c>
      <c r="C171" s="380" t="s">
        <v>481</v>
      </c>
      <c r="D171" s="368">
        <f t="shared" si="95"/>
        <v>100</v>
      </c>
      <c r="E171" s="369">
        <v>12.1</v>
      </c>
      <c r="F171" s="370">
        <f t="shared" si="96"/>
        <v>25.23</v>
      </c>
      <c r="G171" s="369">
        <v>12.42</v>
      </c>
      <c r="H171" s="369">
        <v>0.49</v>
      </c>
      <c r="I171" s="369">
        <v>12.32</v>
      </c>
      <c r="J171" s="370">
        <f t="shared" si="97"/>
        <v>37.769999999999996</v>
      </c>
      <c r="K171" s="369">
        <v>17.36</v>
      </c>
      <c r="L171" s="369">
        <v>13.94</v>
      </c>
      <c r="M171" s="369">
        <v>6.47</v>
      </c>
      <c r="N171" s="369">
        <v>0</v>
      </c>
      <c r="O171" s="369">
        <v>0</v>
      </c>
      <c r="P171" s="369">
        <v>24.9</v>
      </c>
    </row>
    <row r="172" spans="2:16">
      <c r="B172" s="379">
        <v>3</v>
      </c>
      <c r="C172" s="380" t="s">
        <v>482</v>
      </c>
      <c r="D172" s="368">
        <f t="shared" si="95"/>
        <v>100</v>
      </c>
      <c r="E172" s="369">
        <v>12.1</v>
      </c>
      <c r="F172" s="370">
        <f t="shared" si="96"/>
        <v>25.23</v>
      </c>
      <c r="G172" s="369">
        <v>12.42</v>
      </c>
      <c r="H172" s="369">
        <v>0.49</v>
      </c>
      <c r="I172" s="369">
        <v>12.32</v>
      </c>
      <c r="J172" s="370">
        <f t="shared" si="97"/>
        <v>37.769999999999996</v>
      </c>
      <c r="K172" s="369">
        <v>17.36</v>
      </c>
      <c r="L172" s="369">
        <v>13.94</v>
      </c>
      <c r="M172" s="369">
        <v>6.47</v>
      </c>
      <c r="N172" s="369">
        <v>0</v>
      </c>
      <c r="O172" s="369">
        <v>0</v>
      </c>
      <c r="P172" s="369">
        <v>24.9</v>
      </c>
    </row>
    <row r="173" spans="2:16">
      <c r="B173" s="379">
        <v>4</v>
      </c>
      <c r="C173" s="380" t="s">
        <v>483</v>
      </c>
      <c r="D173" s="368">
        <f t="shared" si="95"/>
        <v>100</v>
      </c>
      <c r="E173" s="369">
        <v>12.1</v>
      </c>
      <c r="F173" s="370">
        <f t="shared" si="96"/>
        <v>25.23</v>
      </c>
      <c r="G173" s="369">
        <v>12.42</v>
      </c>
      <c r="H173" s="369">
        <v>0.49</v>
      </c>
      <c r="I173" s="369">
        <v>12.32</v>
      </c>
      <c r="J173" s="370">
        <f t="shared" si="97"/>
        <v>37.769999999999996</v>
      </c>
      <c r="K173" s="369">
        <v>17.36</v>
      </c>
      <c r="L173" s="369">
        <v>13.94</v>
      </c>
      <c r="M173" s="369">
        <v>6.47</v>
      </c>
      <c r="N173" s="369">
        <v>0</v>
      </c>
      <c r="O173" s="369">
        <v>0</v>
      </c>
      <c r="P173" s="369">
        <v>24.9</v>
      </c>
    </row>
    <row r="174" spans="2:16">
      <c r="B174" s="379">
        <v>5</v>
      </c>
      <c r="C174" s="380" t="s">
        <v>484</v>
      </c>
      <c r="D174" s="368">
        <f t="shared" si="95"/>
        <v>100</v>
      </c>
      <c r="E174" s="369">
        <v>12.1</v>
      </c>
      <c r="F174" s="370">
        <f t="shared" si="96"/>
        <v>25.23</v>
      </c>
      <c r="G174" s="369">
        <v>12.42</v>
      </c>
      <c r="H174" s="369">
        <v>0.49</v>
      </c>
      <c r="I174" s="369">
        <v>12.32</v>
      </c>
      <c r="J174" s="370">
        <f t="shared" si="97"/>
        <v>37.769999999999996</v>
      </c>
      <c r="K174" s="369">
        <v>17.36</v>
      </c>
      <c r="L174" s="369">
        <v>13.94</v>
      </c>
      <c r="M174" s="369">
        <v>6.47</v>
      </c>
      <c r="N174" s="369">
        <v>0</v>
      </c>
      <c r="O174" s="369">
        <v>0</v>
      </c>
      <c r="P174" s="369">
        <v>24.9</v>
      </c>
    </row>
    <row r="175" spans="2:16">
      <c r="B175" s="379">
        <v>6</v>
      </c>
      <c r="C175" s="380" t="s">
        <v>485</v>
      </c>
      <c r="D175" s="368">
        <f t="shared" si="95"/>
        <v>100</v>
      </c>
      <c r="E175" s="369">
        <v>12.1</v>
      </c>
      <c r="F175" s="370">
        <f t="shared" si="96"/>
        <v>25.23</v>
      </c>
      <c r="G175" s="369">
        <v>12.42</v>
      </c>
      <c r="H175" s="369">
        <v>0.49</v>
      </c>
      <c r="I175" s="369">
        <v>12.32</v>
      </c>
      <c r="J175" s="370">
        <f t="shared" si="97"/>
        <v>37.769999999999996</v>
      </c>
      <c r="K175" s="369">
        <v>17.36</v>
      </c>
      <c r="L175" s="369">
        <v>13.94</v>
      </c>
      <c r="M175" s="369">
        <v>6.47</v>
      </c>
      <c r="N175" s="369">
        <v>0</v>
      </c>
      <c r="O175" s="369">
        <v>0</v>
      </c>
      <c r="P175" s="369">
        <v>24.9</v>
      </c>
    </row>
    <row r="176" spans="2:16">
      <c r="B176" s="379">
        <v>7</v>
      </c>
      <c r="C176" s="380" t="s">
        <v>486</v>
      </c>
      <c r="D176" s="368">
        <f t="shared" si="95"/>
        <v>100</v>
      </c>
      <c r="E176" s="369">
        <v>12.1</v>
      </c>
      <c r="F176" s="370">
        <f t="shared" si="96"/>
        <v>25.23</v>
      </c>
      <c r="G176" s="369">
        <v>12.42</v>
      </c>
      <c r="H176" s="369">
        <v>0.49</v>
      </c>
      <c r="I176" s="369">
        <v>12.32</v>
      </c>
      <c r="J176" s="370">
        <f t="shared" si="97"/>
        <v>37.769999999999996</v>
      </c>
      <c r="K176" s="369">
        <v>17.36</v>
      </c>
      <c r="L176" s="369">
        <v>13.94</v>
      </c>
      <c r="M176" s="369">
        <v>6.47</v>
      </c>
      <c r="N176" s="369">
        <v>0</v>
      </c>
      <c r="O176" s="369">
        <v>0</v>
      </c>
      <c r="P176" s="369">
        <v>24.9</v>
      </c>
    </row>
    <row r="177" spans="1:19">
      <c r="B177" s="379">
        <v>8</v>
      </c>
      <c r="C177" s="380" t="s">
        <v>487</v>
      </c>
      <c r="D177" s="368">
        <f t="shared" si="95"/>
        <v>100</v>
      </c>
      <c r="E177" s="369">
        <v>12.1</v>
      </c>
      <c r="F177" s="370">
        <f t="shared" si="96"/>
        <v>25.23</v>
      </c>
      <c r="G177" s="369">
        <v>12.42</v>
      </c>
      <c r="H177" s="369">
        <v>0.49</v>
      </c>
      <c r="I177" s="369">
        <v>12.32</v>
      </c>
      <c r="J177" s="370">
        <f t="shared" si="97"/>
        <v>37.769999999999996</v>
      </c>
      <c r="K177" s="369">
        <v>17.36</v>
      </c>
      <c r="L177" s="369">
        <v>13.94</v>
      </c>
      <c r="M177" s="369">
        <v>6.47</v>
      </c>
      <c r="N177" s="369">
        <v>0</v>
      </c>
      <c r="O177" s="369">
        <v>0</v>
      </c>
      <c r="P177" s="369">
        <v>24.9</v>
      </c>
    </row>
    <row r="178" spans="1:19">
      <c r="B178" s="379">
        <v>9</v>
      </c>
      <c r="C178" s="380" t="s">
        <v>488</v>
      </c>
      <c r="D178" s="368">
        <f t="shared" si="95"/>
        <v>100</v>
      </c>
      <c r="E178" s="369">
        <v>12.1</v>
      </c>
      <c r="F178" s="370">
        <f t="shared" si="96"/>
        <v>25.23</v>
      </c>
      <c r="G178" s="369">
        <v>12.42</v>
      </c>
      <c r="H178" s="369">
        <v>0.49</v>
      </c>
      <c r="I178" s="369">
        <v>12.32</v>
      </c>
      <c r="J178" s="370">
        <f t="shared" si="97"/>
        <v>37.769999999999996</v>
      </c>
      <c r="K178" s="369">
        <v>17.36</v>
      </c>
      <c r="L178" s="369">
        <v>13.94</v>
      </c>
      <c r="M178" s="369">
        <v>6.47</v>
      </c>
      <c r="N178" s="369">
        <v>0</v>
      </c>
      <c r="O178" s="369">
        <v>0</v>
      </c>
      <c r="P178" s="369">
        <v>24.9</v>
      </c>
    </row>
    <row r="179" spans="1:19">
      <c r="B179" s="379">
        <v>10</v>
      </c>
      <c r="C179" s="380" t="s">
        <v>489</v>
      </c>
      <c r="D179" s="368">
        <f t="shared" si="95"/>
        <v>100</v>
      </c>
      <c r="E179" s="369">
        <v>12.1</v>
      </c>
      <c r="F179" s="370">
        <f t="shared" si="96"/>
        <v>25.23</v>
      </c>
      <c r="G179" s="369">
        <v>12.42</v>
      </c>
      <c r="H179" s="369">
        <v>0.49</v>
      </c>
      <c r="I179" s="369">
        <v>12.32</v>
      </c>
      <c r="J179" s="370">
        <f t="shared" si="97"/>
        <v>37.769999999999996</v>
      </c>
      <c r="K179" s="369">
        <v>17.36</v>
      </c>
      <c r="L179" s="369">
        <v>13.94</v>
      </c>
      <c r="M179" s="369">
        <v>6.47</v>
      </c>
      <c r="N179" s="369">
        <v>0</v>
      </c>
      <c r="O179" s="369">
        <v>0</v>
      </c>
      <c r="P179" s="369">
        <v>24.9</v>
      </c>
    </row>
    <row r="180" spans="1:19">
      <c r="B180" s="379">
        <v>11</v>
      </c>
      <c r="C180" s="380" t="s">
        <v>490</v>
      </c>
      <c r="D180" s="368">
        <f t="shared" si="95"/>
        <v>100</v>
      </c>
      <c r="E180" s="369">
        <v>12.1</v>
      </c>
      <c r="F180" s="370">
        <f t="shared" si="96"/>
        <v>25.23</v>
      </c>
      <c r="G180" s="369">
        <v>12.42</v>
      </c>
      <c r="H180" s="369">
        <v>0.49</v>
      </c>
      <c r="I180" s="369">
        <v>12.32</v>
      </c>
      <c r="J180" s="370">
        <f t="shared" si="97"/>
        <v>37.769999999999996</v>
      </c>
      <c r="K180" s="369">
        <v>17.36</v>
      </c>
      <c r="L180" s="369">
        <v>13.94</v>
      </c>
      <c r="M180" s="369">
        <v>6.47</v>
      </c>
      <c r="N180" s="369">
        <v>0</v>
      </c>
      <c r="O180" s="369">
        <v>0</v>
      </c>
      <c r="P180" s="369">
        <v>24.9</v>
      </c>
    </row>
    <row r="181" spans="1:19">
      <c r="B181" s="379">
        <v>12</v>
      </c>
      <c r="C181" s="380" t="s">
        <v>491</v>
      </c>
      <c r="D181" s="368">
        <f t="shared" si="95"/>
        <v>100</v>
      </c>
      <c r="E181" s="369">
        <v>12.1</v>
      </c>
      <c r="F181" s="370">
        <f t="shared" si="96"/>
        <v>25.23</v>
      </c>
      <c r="G181" s="369">
        <v>12.42</v>
      </c>
      <c r="H181" s="369">
        <v>0.49</v>
      </c>
      <c r="I181" s="369">
        <v>12.32</v>
      </c>
      <c r="J181" s="370">
        <f t="shared" si="97"/>
        <v>37.769999999999996</v>
      </c>
      <c r="K181" s="369">
        <v>17.36</v>
      </c>
      <c r="L181" s="369">
        <v>13.94</v>
      </c>
      <c r="M181" s="369">
        <v>6.47</v>
      </c>
      <c r="N181" s="369">
        <v>0</v>
      </c>
      <c r="O181" s="369">
        <v>0</v>
      </c>
      <c r="P181" s="369">
        <v>24.9</v>
      </c>
    </row>
    <row r="182" spans="1:19">
      <c r="B182" s="379">
        <v>13</v>
      </c>
      <c r="C182" s="380" t="s">
        <v>492</v>
      </c>
      <c r="D182" s="368">
        <f t="shared" si="95"/>
        <v>100</v>
      </c>
      <c r="E182" s="369">
        <v>12.1</v>
      </c>
      <c r="F182" s="370">
        <f t="shared" si="96"/>
        <v>25.23</v>
      </c>
      <c r="G182" s="369">
        <v>12.42</v>
      </c>
      <c r="H182" s="369">
        <v>0.49</v>
      </c>
      <c r="I182" s="369">
        <v>12.32</v>
      </c>
      <c r="J182" s="370">
        <f t="shared" si="97"/>
        <v>37.769999999999996</v>
      </c>
      <c r="K182" s="369">
        <v>17.36</v>
      </c>
      <c r="L182" s="369">
        <v>13.94</v>
      </c>
      <c r="M182" s="369">
        <v>6.47</v>
      </c>
      <c r="N182" s="369">
        <v>0</v>
      </c>
      <c r="O182" s="369">
        <v>0</v>
      </c>
      <c r="P182" s="369">
        <v>24.9</v>
      </c>
    </row>
    <row r="183" spans="1:19" ht="15.75" thickBot="1">
      <c r="B183" s="381">
        <v>14</v>
      </c>
      <c r="C183" s="382" t="s">
        <v>493</v>
      </c>
      <c r="D183" s="372">
        <f t="shared" si="95"/>
        <v>100</v>
      </c>
      <c r="E183" s="373">
        <v>12.1</v>
      </c>
      <c r="F183" s="374">
        <f t="shared" si="96"/>
        <v>25.23</v>
      </c>
      <c r="G183" s="373">
        <v>12.42</v>
      </c>
      <c r="H183" s="373">
        <v>0.49</v>
      </c>
      <c r="I183" s="373">
        <v>12.32</v>
      </c>
      <c r="J183" s="374">
        <f t="shared" si="97"/>
        <v>37.769999999999996</v>
      </c>
      <c r="K183" s="373">
        <v>17.36</v>
      </c>
      <c r="L183" s="373">
        <v>13.94</v>
      </c>
      <c r="M183" s="373">
        <v>6.47</v>
      </c>
      <c r="N183" s="373">
        <v>0</v>
      </c>
      <c r="O183" s="373">
        <v>0</v>
      </c>
      <c r="P183" s="373">
        <v>24.9</v>
      </c>
    </row>
    <row r="184" spans="1:19" ht="15.75" thickBot="1">
      <c r="B184" s="383" t="s">
        <v>494</v>
      </c>
      <c r="C184" s="384" t="s">
        <v>392</v>
      </c>
      <c r="D184" s="385">
        <f t="shared" si="95"/>
        <v>100</v>
      </c>
      <c r="E184" s="386">
        <v>12.1</v>
      </c>
      <c r="F184" s="387">
        <f t="shared" si="96"/>
        <v>25.23</v>
      </c>
      <c r="G184" s="386">
        <v>12.42</v>
      </c>
      <c r="H184" s="386">
        <v>0.49</v>
      </c>
      <c r="I184" s="386">
        <v>12.32</v>
      </c>
      <c r="J184" s="387">
        <f t="shared" si="97"/>
        <v>37.769999999999996</v>
      </c>
      <c r="K184" s="386">
        <v>17.36</v>
      </c>
      <c r="L184" s="386">
        <v>13.94</v>
      </c>
      <c r="M184" s="386">
        <v>6.47</v>
      </c>
      <c r="N184" s="386">
        <v>0</v>
      </c>
      <c r="O184" s="386">
        <v>0</v>
      </c>
      <c r="P184" s="386">
        <v>24.9</v>
      </c>
    </row>
    <row r="185" spans="1:19" ht="15.75" thickBot="1">
      <c r="B185" s="390" t="s">
        <v>495</v>
      </c>
      <c r="C185" s="391" t="s">
        <v>394</v>
      </c>
      <c r="D185" s="392">
        <f t="shared" si="95"/>
        <v>100</v>
      </c>
      <c r="E185" s="393">
        <v>12.1</v>
      </c>
      <c r="F185" s="394">
        <f t="shared" si="96"/>
        <v>25.23</v>
      </c>
      <c r="G185" s="393">
        <v>12.42</v>
      </c>
      <c r="H185" s="393">
        <v>0.49</v>
      </c>
      <c r="I185" s="393">
        <v>12.32</v>
      </c>
      <c r="J185" s="394">
        <f t="shared" si="97"/>
        <v>37.769999999999996</v>
      </c>
      <c r="K185" s="393">
        <v>17.36</v>
      </c>
      <c r="L185" s="393">
        <v>13.94</v>
      </c>
      <c r="M185" s="393">
        <v>6.47</v>
      </c>
      <c r="N185" s="393">
        <v>0</v>
      </c>
      <c r="O185" s="393">
        <v>0</v>
      </c>
      <c r="P185" s="393">
        <v>24.9</v>
      </c>
    </row>
    <row r="186" spans="1:19" ht="45" customHeight="1" thickTop="1" thickBot="1">
      <c r="B186" s="133" t="s">
        <v>77</v>
      </c>
      <c r="C186" s="134" t="s">
        <v>496</v>
      </c>
      <c r="D186" s="323">
        <f t="shared" ref="D186:P186" si="98">D187+D189+D192+D194+D201+D200+D206+D210+D213+D229+D230</f>
        <v>360.14</v>
      </c>
      <c r="E186" s="395">
        <f t="shared" si="98"/>
        <v>51.461712470118442</v>
      </c>
      <c r="F186" s="133">
        <f t="shared" si="98"/>
        <v>82.518408064825294</v>
      </c>
      <c r="G186" s="228">
        <f t="shared" si="98"/>
        <v>23.302361081807067</v>
      </c>
      <c r="H186" s="229">
        <f t="shared" si="98"/>
        <v>1.8671458598098405</v>
      </c>
      <c r="I186" s="230">
        <f t="shared" si="98"/>
        <v>57.348901123208371</v>
      </c>
      <c r="J186" s="133">
        <f t="shared" si="98"/>
        <v>134.29948187901152</v>
      </c>
      <c r="K186" s="228">
        <f t="shared" si="98"/>
        <v>73.392258965695561</v>
      </c>
      <c r="L186" s="229">
        <f t="shared" si="98"/>
        <v>39.75748838753352</v>
      </c>
      <c r="M186" s="229">
        <f t="shared" si="98"/>
        <v>21.149734525782449</v>
      </c>
      <c r="N186" s="226">
        <f t="shared" si="98"/>
        <v>0</v>
      </c>
      <c r="O186" s="227">
        <f t="shared" si="98"/>
        <v>0</v>
      </c>
      <c r="P186" s="133">
        <f t="shared" si="98"/>
        <v>91.860397586044755</v>
      </c>
      <c r="Q186" s="324"/>
      <c r="R186" s="325"/>
      <c r="S186" s="204"/>
    </row>
    <row r="187" spans="1:19" ht="15.75" thickTop="1">
      <c r="B187" s="396" t="s">
        <v>497</v>
      </c>
      <c r="C187" s="397" t="s">
        <v>303</v>
      </c>
      <c r="D187" s="398">
        <f t="shared" ref="D187:P187" si="99">D188</f>
        <v>1.36</v>
      </c>
      <c r="E187" s="399">
        <f t="shared" si="99"/>
        <v>0.19537980495192947</v>
      </c>
      <c r="F187" s="396">
        <f t="shared" si="99"/>
        <v>0.3072277779211956</v>
      </c>
      <c r="G187" s="400">
        <f t="shared" si="99"/>
        <v>8.3876368516567268E-2</v>
      </c>
      <c r="H187" s="401">
        <f t="shared" si="99"/>
        <v>5.9611574182209838E-3</v>
      </c>
      <c r="I187" s="402">
        <f t="shared" si="99"/>
        <v>0.21739025198640735</v>
      </c>
      <c r="J187" s="396">
        <f t="shared" si="99"/>
        <v>0.50830753804287565</v>
      </c>
      <c r="K187" s="400">
        <f t="shared" si="99"/>
        <v>0.27866971415843717</v>
      </c>
      <c r="L187" s="401">
        <f t="shared" si="99"/>
        <v>0.14924530605257025</v>
      </c>
      <c r="M187" s="401">
        <f t="shared" si="99"/>
        <v>8.0392517831868238E-2</v>
      </c>
      <c r="N187" s="403">
        <f t="shared" si="99"/>
        <v>0</v>
      </c>
      <c r="O187" s="404">
        <f t="shared" si="99"/>
        <v>0</v>
      </c>
      <c r="P187" s="396">
        <f t="shared" si="99"/>
        <v>0.34908487908399932</v>
      </c>
      <c r="Q187" s="324"/>
      <c r="R187" s="325"/>
    </row>
    <row r="188" spans="1:19" ht="26.25" thickBot="1">
      <c r="A188" s="405"/>
      <c r="B188" s="170" t="s">
        <v>498</v>
      </c>
      <c r="C188" s="167" t="s">
        <v>499</v>
      </c>
      <c r="D188" s="406">
        <v>1.36</v>
      </c>
      <c r="E188" s="407">
        <f>IFERROR($D188*E$237/100, 0)</f>
        <v>0.19537980495192947</v>
      </c>
      <c r="F188" s="313">
        <f>SUM(G188:I188)</f>
        <v>0.3072277779211956</v>
      </c>
      <c r="G188" s="408">
        <f>IFERROR($D188*G$237/100, 0)</f>
        <v>8.3876368516567268E-2</v>
      </c>
      <c r="H188" s="409">
        <f>IFERROR($D188*H$237/100, 0)</f>
        <v>5.9611574182209838E-3</v>
      </c>
      <c r="I188" s="410">
        <f>IFERROR($D188*I$237/100, 0)</f>
        <v>0.21739025198640735</v>
      </c>
      <c r="J188" s="313">
        <f t="shared" ref="J188:J235" si="100">SUM(K188:M188)</f>
        <v>0.50830753804287565</v>
      </c>
      <c r="K188" s="408">
        <f t="shared" ref="K188:P188" si="101">IFERROR($D188*K$237/100, 0)</f>
        <v>0.27866971415843717</v>
      </c>
      <c r="L188" s="409">
        <f t="shared" si="101"/>
        <v>0.14924530605257025</v>
      </c>
      <c r="M188" s="409">
        <f t="shared" si="101"/>
        <v>8.0392517831868238E-2</v>
      </c>
      <c r="N188" s="411">
        <f t="shared" si="101"/>
        <v>0</v>
      </c>
      <c r="O188" s="412">
        <f t="shared" si="101"/>
        <v>0</v>
      </c>
      <c r="P188" s="313">
        <f t="shared" si="101"/>
        <v>0.34908487908399932</v>
      </c>
      <c r="Q188" s="335"/>
      <c r="R188" s="336"/>
    </row>
    <row r="189" spans="1:19" s="3" customFormat="1">
      <c r="B189" s="149" t="s">
        <v>171</v>
      </c>
      <c r="C189" s="203" t="s">
        <v>313</v>
      </c>
      <c r="D189" s="337">
        <f t="shared" ref="D189:I189" si="102">SUM(D190:D191)</f>
        <v>1.45</v>
      </c>
      <c r="E189" s="413">
        <f t="shared" si="102"/>
        <v>0.20830935086786595</v>
      </c>
      <c r="F189" s="153">
        <f t="shared" si="102"/>
        <v>0.32755902793068647</v>
      </c>
      <c r="G189" s="154">
        <f t="shared" si="102"/>
        <v>8.9427010550751848E-2</v>
      </c>
      <c r="H189" s="155">
        <f t="shared" si="102"/>
        <v>6.3556457767797248E-3</v>
      </c>
      <c r="I189" s="156">
        <f t="shared" si="102"/>
        <v>0.23177637160315487</v>
      </c>
      <c r="J189" s="153">
        <f t="shared" si="100"/>
        <v>0.5419455368839482</v>
      </c>
      <c r="K189" s="154">
        <f t="shared" ref="K189:P189" si="103">SUM(K190:K191)</f>
        <v>0.29711109230127486</v>
      </c>
      <c r="L189" s="155">
        <f t="shared" si="103"/>
        <v>0.15912183365899035</v>
      </c>
      <c r="M189" s="155">
        <f t="shared" si="103"/>
        <v>8.5712610923683027E-2</v>
      </c>
      <c r="N189" s="151">
        <f t="shared" si="103"/>
        <v>0</v>
      </c>
      <c r="O189" s="152">
        <f t="shared" si="103"/>
        <v>0</v>
      </c>
      <c r="P189" s="153">
        <f t="shared" si="103"/>
        <v>0.37218608431749928</v>
      </c>
      <c r="Q189" s="324"/>
      <c r="R189" s="325"/>
    </row>
    <row r="190" spans="1:19">
      <c r="B190" s="258" t="s">
        <v>500</v>
      </c>
      <c r="C190" s="167" t="s">
        <v>501</v>
      </c>
      <c r="D190" s="334">
        <v>0</v>
      </c>
      <c r="E190" s="414">
        <f>IFERROR($D190*E$237/100, 0)</f>
        <v>0</v>
      </c>
      <c r="F190" s="205">
        <f t="shared" ref="F190:F235" si="104">SUM(G190:I190)</f>
        <v>0</v>
      </c>
      <c r="G190" s="209">
        <f t="shared" ref="G190:I191" si="105">IFERROR($D190*G$237/100, 0)</f>
        <v>0</v>
      </c>
      <c r="H190" s="210">
        <f t="shared" si="105"/>
        <v>0</v>
      </c>
      <c r="I190" s="211">
        <f t="shared" si="105"/>
        <v>0</v>
      </c>
      <c r="J190" s="205">
        <f t="shared" si="100"/>
        <v>0</v>
      </c>
      <c r="K190" s="209">
        <f t="shared" ref="K190:P191" si="106">IFERROR($D190*K$237/100, 0)</f>
        <v>0</v>
      </c>
      <c r="L190" s="210">
        <f t="shared" si="106"/>
        <v>0</v>
      </c>
      <c r="M190" s="210">
        <f t="shared" si="106"/>
        <v>0</v>
      </c>
      <c r="N190" s="207">
        <f t="shared" si="106"/>
        <v>0</v>
      </c>
      <c r="O190" s="208">
        <f t="shared" si="106"/>
        <v>0</v>
      </c>
      <c r="P190" s="205">
        <f t="shared" si="106"/>
        <v>0</v>
      </c>
      <c r="Q190" s="335"/>
      <c r="R190" s="336"/>
    </row>
    <row r="191" spans="1:19" ht="15.75" thickBot="1">
      <c r="B191" s="415" t="s">
        <v>502</v>
      </c>
      <c r="C191" s="416" t="s">
        <v>317</v>
      </c>
      <c r="D191" s="344">
        <v>1.45</v>
      </c>
      <c r="E191" s="417">
        <f>IFERROR($D191*E$237/100, 0)</f>
        <v>0.20830935086786595</v>
      </c>
      <c r="F191" s="346">
        <f t="shared" si="104"/>
        <v>0.32755902793068647</v>
      </c>
      <c r="G191" s="347">
        <f t="shared" si="105"/>
        <v>8.9427010550751848E-2</v>
      </c>
      <c r="H191" s="348">
        <f t="shared" si="105"/>
        <v>6.3556457767797248E-3</v>
      </c>
      <c r="I191" s="349">
        <f t="shared" si="105"/>
        <v>0.23177637160315487</v>
      </c>
      <c r="J191" s="346">
        <f t="shared" si="100"/>
        <v>0.5419455368839482</v>
      </c>
      <c r="K191" s="347">
        <f t="shared" si="106"/>
        <v>0.29711109230127486</v>
      </c>
      <c r="L191" s="348">
        <f t="shared" si="106"/>
        <v>0.15912183365899035</v>
      </c>
      <c r="M191" s="348">
        <f t="shared" si="106"/>
        <v>8.5712610923683027E-2</v>
      </c>
      <c r="N191" s="350">
        <f t="shared" si="106"/>
        <v>0</v>
      </c>
      <c r="O191" s="345">
        <f t="shared" si="106"/>
        <v>0</v>
      </c>
      <c r="P191" s="346">
        <f t="shared" si="106"/>
        <v>0.37218608431749928</v>
      </c>
      <c r="Q191" s="335"/>
      <c r="R191" s="336"/>
    </row>
    <row r="192" spans="1:19">
      <c r="B192" s="141" t="s">
        <v>173</v>
      </c>
      <c r="C192" s="142" t="s">
        <v>319</v>
      </c>
      <c r="D192" s="418">
        <f>D193</f>
        <v>0</v>
      </c>
      <c r="E192" s="419">
        <f>E193</f>
        <v>0</v>
      </c>
      <c r="F192" s="145">
        <f t="shared" si="104"/>
        <v>0</v>
      </c>
      <c r="G192" s="146">
        <f>G193</f>
        <v>0</v>
      </c>
      <c r="H192" s="147">
        <f>H193</f>
        <v>0</v>
      </c>
      <c r="I192" s="148">
        <f>I193</f>
        <v>0</v>
      </c>
      <c r="J192" s="145">
        <f t="shared" si="100"/>
        <v>0</v>
      </c>
      <c r="K192" s="146">
        <f t="shared" ref="K192:P192" si="107">K193</f>
        <v>0</v>
      </c>
      <c r="L192" s="147">
        <f t="shared" si="107"/>
        <v>0</v>
      </c>
      <c r="M192" s="147">
        <f t="shared" si="107"/>
        <v>0</v>
      </c>
      <c r="N192" s="143">
        <f t="shared" si="107"/>
        <v>0</v>
      </c>
      <c r="O192" s="144">
        <f t="shared" si="107"/>
        <v>0</v>
      </c>
      <c r="P192" s="145">
        <f t="shared" si="107"/>
        <v>0</v>
      </c>
      <c r="Q192" s="324"/>
      <c r="R192" s="325"/>
    </row>
    <row r="193" spans="2:18" ht="15.75" thickBot="1">
      <c r="B193" s="166" t="s">
        <v>503</v>
      </c>
      <c r="C193" s="167" t="s">
        <v>321</v>
      </c>
      <c r="D193" s="334">
        <v>0</v>
      </c>
      <c r="E193" s="414">
        <f>IFERROR($D193*E$237/100, 0)</f>
        <v>0</v>
      </c>
      <c r="F193" s="205">
        <f t="shared" si="104"/>
        <v>0</v>
      </c>
      <c r="G193" s="209">
        <f>IFERROR($D193*G$237/100, 0)</f>
        <v>0</v>
      </c>
      <c r="H193" s="210">
        <f>IFERROR($D193*H$237/100, 0)</f>
        <v>0</v>
      </c>
      <c r="I193" s="211">
        <f>IFERROR($D193*I$237/100, 0)</f>
        <v>0</v>
      </c>
      <c r="J193" s="205">
        <f t="shared" si="100"/>
        <v>0</v>
      </c>
      <c r="K193" s="209">
        <f t="shared" ref="K193:P193" si="108">IFERROR($D193*K$237/100, 0)</f>
        <v>0</v>
      </c>
      <c r="L193" s="210">
        <f t="shared" si="108"/>
        <v>0</v>
      </c>
      <c r="M193" s="210">
        <f t="shared" si="108"/>
        <v>0</v>
      </c>
      <c r="N193" s="207">
        <f t="shared" si="108"/>
        <v>0</v>
      </c>
      <c r="O193" s="208">
        <f t="shared" si="108"/>
        <v>0</v>
      </c>
      <c r="P193" s="205">
        <f t="shared" si="108"/>
        <v>0</v>
      </c>
      <c r="Q193" s="335"/>
      <c r="R193" s="336"/>
    </row>
    <row r="194" spans="2:18" s="3" customFormat="1">
      <c r="B194" s="149" t="s">
        <v>175</v>
      </c>
      <c r="C194" s="203" t="s">
        <v>323</v>
      </c>
      <c r="D194" s="337">
        <f>SUM(D195:D199)</f>
        <v>0.62</v>
      </c>
      <c r="E194" s="413">
        <f>SUM(E195:E199)</f>
        <v>8.907020519867373E-2</v>
      </c>
      <c r="F194" s="153">
        <f t="shared" si="104"/>
        <v>0.14005972228760388</v>
      </c>
      <c r="G194" s="154">
        <f>SUM(G195:G199)</f>
        <v>3.82377562354939E-2</v>
      </c>
      <c r="H194" s="155">
        <f>SUM(H195:H199)</f>
        <v>2.7175864700713305E-3</v>
      </c>
      <c r="I194" s="156">
        <f>SUM(I195:I199)</f>
        <v>9.9104379582038646E-2</v>
      </c>
      <c r="J194" s="153">
        <f t="shared" si="100"/>
        <v>0.23172843646072269</v>
      </c>
      <c r="K194" s="154">
        <f t="shared" ref="K194:P194" si="109">SUM(K195:K199)</f>
        <v>0.12704060498399339</v>
      </c>
      <c r="L194" s="155">
        <f t="shared" si="109"/>
        <v>6.8038301288671735E-2</v>
      </c>
      <c r="M194" s="155">
        <f t="shared" si="109"/>
        <v>3.6649530188057576E-2</v>
      </c>
      <c r="N194" s="151">
        <f t="shared" si="109"/>
        <v>0</v>
      </c>
      <c r="O194" s="152">
        <f t="shared" si="109"/>
        <v>0</v>
      </c>
      <c r="P194" s="153">
        <f t="shared" si="109"/>
        <v>0.15914163605299969</v>
      </c>
      <c r="Q194" s="324"/>
      <c r="R194" s="325"/>
    </row>
    <row r="195" spans="2:18">
      <c r="B195" s="166" t="s">
        <v>504</v>
      </c>
      <c r="C195" s="167" t="s">
        <v>277</v>
      </c>
      <c r="D195" s="334">
        <v>0.62</v>
      </c>
      <c r="E195" s="414">
        <f>IFERROR($D195*E$237/100, 0)</f>
        <v>8.907020519867373E-2</v>
      </c>
      <c r="F195" s="205">
        <f t="shared" si="104"/>
        <v>0.14005972228760388</v>
      </c>
      <c r="G195" s="209">
        <f t="shared" ref="G195:I199" si="110">IFERROR($D195*G$237/100, 0)</f>
        <v>3.82377562354939E-2</v>
      </c>
      <c r="H195" s="210">
        <f t="shared" si="110"/>
        <v>2.7175864700713305E-3</v>
      </c>
      <c r="I195" s="211">
        <f t="shared" si="110"/>
        <v>9.9104379582038646E-2</v>
      </c>
      <c r="J195" s="205">
        <f t="shared" si="100"/>
        <v>0.23172843646072269</v>
      </c>
      <c r="K195" s="209">
        <f t="shared" ref="K195:P199" si="111">IFERROR($D195*K$237/100, 0)</f>
        <v>0.12704060498399339</v>
      </c>
      <c r="L195" s="210">
        <f t="shared" si="111"/>
        <v>6.8038301288671735E-2</v>
      </c>
      <c r="M195" s="210">
        <f t="shared" si="111"/>
        <v>3.6649530188057576E-2</v>
      </c>
      <c r="N195" s="207">
        <f t="shared" si="111"/>
        <v>0</v>
      </c>
      <c r="O195" s="208">
        <f t="shared" si="111"/>
        <v>0</v>
      </c>
      <c r="P195" s="205">
        <f t="shared" si="111"/>
        <v>0.15914163605299969</v>
      </c>
      <c r="Q195" s="335"/>
      <c r="R195" s="336"/>
    </row>
    <row r="196" spans="2:18">
      <c r="B196" s="166" t="s">
        <v>505</v>
      </c>
      <c r="C196" s="167" t="s">
        <v>281</v>
      </c>
      <c r="D196" s="334">
        <v>0</v>
      </c>
      <c r="E196" s="414">
        <f>IFERROR($D196*E$237/100, 0)</f>
        <v>0</v>
      </c>
      <c r="F196" s="205">
        <f t="shared" si="104"/>
        <v>0</v>
      </c>
      <c r="G196" s="209">
        <f t="shared" si="110"/>
        <v>0</v>
      </c>
      <c r="H196" s="210">
        <f t="shared" si="110"/>
        <v>0</v>
      </c>
      <c r="I196" s="211">
        <f t="shared" si="110"/>
        <v>0</v>
      </c>
      <c r="J196" s="205">
        <f t="shared" si="100"/>
        <v>0</v>
      </c>
      <c r="K196" s="209">
        <f t="shared" si="111"/>
        <v>0</v>
      </c>
      <c r="L196" s="210">
        <f t="shared" si="111"/>
        <v>0</v>
      </c>
      <c r="M196" s="210">
        <f t="shared" si="111"/>
        <v>0</v>
      </c>
      <c r="N196" s="207">
        <f t="shared" si="111"/>
        <v>0</v>
      </c>
      <c r="O196" s="208">
        <f t="shared" si="111"/>
        <v>0</v>
      </c>
      <c r="P196" s="205">
        <f t="shared" si="111"/>
        <v>0</v>
      </c>
      <c r="Q196" s="335"/>
      <c r="R196" s="336"/>
    </row>
    <row r="197" spans="2:18">
      <c r="B197" s="166" t="s">
        <v>506</v>
      </c>
      <c r="C197" s="249" t="s">
        <v>327</v>
      </c>
      <c r="D197" s="334">
        <v>0</v>
      </c>
      <c r="E197" s="414">
        <f>IFERROR($D197*E$237/100, 0)</f>
        <v>0</v>
      </c>
      <c r="F197" s="205">
        <f t="shared" si="104"/>
        <v>0</v>
      </c>
      <c r="G197" s="209">
        <f t="shared" si="110"/>
        <v>0</v>
      </c>
      <c r="H197" s="210">
        <f t="shared" si="110"/>
        <v>0</v>
      </c>
      <c r="I197" s="211">
        <f t="shared" si="110"/>
        <v>0</v>
      </c>
      <c r="J197" s="205">
        <f t="shared" si="100"/>
        <v>0</v>
      </c>
      <c r="K197" s="209">
        <f t="shared" si="111"/>
        <v>0</v>
      </c>
      <c r="L197" s="210">
        <f t="shared" si="111"/>
        <v>0</v>
      </c>
      <c r="M197" s="210">
        <f t="shared" si="111"/>
        <v>0</v>
      </c>
      <c r="N197" s="207">
        <f t="shared" si="111"/>
        <v>0</v>
      </c>
      <c r="O197" s="208">
        <f t="shared" si="111"/>
        <v>0</v>
      </c>
      <c r="P197" s="205">
        <f t="shared" si="111"/>
        <v>0</v>
      </c>
      <c r="Q197" s="335"/>
      <c r="R197" s="336"/>
    </row>
    <row r="198" spans="2:18">
      <c r="B198" s="166" t="s">
        <v>507</v>
      </c>
      <c r="C198" s="250" t="s">
        <v>279</v>
      </c>
      <c r="D198" s="334">
        <v>0</v>
      </c>
      <c r="E198" s="414">
        <f>IFERROR($D198*E$237/100, 0)</f>
        <v>0</v>
      </c>
      <c r="F198" s="205">
        <f t="shared" si="104"/>
        <v>0</v>
      </c>
      <c r="G198" s="209">
        <f t="shared" si="110"/>
        <v>0</v>
      </c>
      <c r="H198" s="210">
        <f t="shared" si="110"/>
        <v>0</v>
      </c>
      <c r="I198" s="211">
        <f t="shared" si="110"/>
        <v>0</v>
      </c>
      <c r="J198" s="205">
        <f t="shared" si="100"/>
        <v>0</v>
      </c>
      <c r="K198" s="209">
        <f t="shared" si="111"/>
        <v>0</v>
      </c>
      <c r="L198" s="210">
        <f t="shared" si="111"/>
        <v>0</v>
      </c>
      <c r="M198" s="210">
        <f t="shared" si="111"/>
        <v>0</v>
      </c>
      <c r="N198" s="207">
        <f t="shared" si="111"/>
        <v>0</v>
      </c>
      <c r="O198" s="208">
        <f t="shared" si="111"/>
        <v>0</v>
      </c>
      <c r="P198" s="205">
        <f t="shared" si="111"/>
        <v>0</v>
      </c>
      <c r="Q198" s="335"/>
      <c r="R198" s="336"/>
    </row>
    <row r="199" spans="2:18" ht="27" thickBot="1">
      <c r="B199" s="166" t="s">
        <v>508</v>
      </c>
      <c r="C199" s="250" t="s">
        <v>330</v>
      </c>
      <c r="D199" s="334">
        <v>0</v>
      </c>
      <c r="E199" s="414">
        <f>IFERROR($D199*E$237/100, 0)</f>
        <v>0</v>
      </c>
      <c r="F199" s="205">
        <f t="shared" si="104"/>
        <v>0</v>
      </c>
      <c r="G199" s="209">
        <f t="shared" si="110"/>
        <v>0</v>
      </c>
      <c r="H199" s="210">
        <f t="shared" si="110"/>
        <v>0</v>
      </c>
      <c r="I199" s="211">
        <f t="shared" si="110"/>
        <v>0</v>
      </c>
      <c r="J199" s="205">
        <f t="shared" si="100"/>
        <v>0</v>
      </c>
      <c r="K199" s="209">
        <f t="shared" si="111"/>
        <v>0</v>
      </c>
      <c r="L199" s="210">
        <f t="shared" si="111"/>
        <v>0</v>
      </c>
      <c r="M199" s="210">
        <f t="shared" si="111"/>
        <v>0</v>
      </c>
      <c r="N199" s="207">
        <f t="shared" si="111"/>
        <v>0</v>
      </c>
      <c r="O199" s="208">
        <f t="shared" si="111"/>
        <v>0</v>
      </c>
      <c r="P199" s="205">
        <f t="shared" si="111"/>
        <v>0</v>
      </c>
      <c r="Q199" s="335"/>
      <c r="R199" s="336"/>
    </row>
    <row r="200" spans="2:18" s="3" customFormat="1" ht="15.75" thickBot="1">
      <c r="B200" s="149" t="s">
        <v>177</v>
      </c>
      <c r="C200" s="238" t="s">
        <v>332</v>
      </c>
      <c r="D200" s="420">
        <v>2.35</v>
      </c>
      <c r="E200" s="413">
        <f>IFERROR($D200*E$238/100, 0)</f>
        <v>6.1020989419290413E-2</v>
      </c>
      <c r="F200" s="153">
        <f t="shared" si="104"/>
        <v>1.6926531659836856</v>
      </c>
      <c r="G200" s="154">
        <f>IFERROR($D200*G$238/100, 0)</f>
        <v>1.236092043908096</v>
      </c>
      <c r="H200" s="155">
        <f>IFERROR($D200*H$238/100, 0)</f>
        <v>0.29887930637948351</v>
      </c>
      <c r="I200" s="156">
        <f>IFERROR($D200*I$238/100, 0)</f>
        <v>0.15768181569610615</v>
      </c>
      <c r="J200" s="153">
        <f t="shared" si="100"/>
        <v>0.57348626404059544</v>
      </c>
      <c r="K200" s="154">
        <f t="shared" ref="K200:P200" si="112">IFERROR($D200*K$238/100, 0)</f>
        <v>7.9584679852008039E-2</v>
      </c>
      <c r="L200" s="155">
        <f t="shared" si="112"/>
        <v>0.49390158418858737</v>
      </c>
      <c r="M200" s="155">
        <f t="shared" si="112"/>
        <v>0</v>
      </c>
      <c r="N200" s="151">
        <f t="shared" si="112"/>
        <v>0</v>
      </c>
      <c r="O200" s="152">
        <f t="shared" si="112"/>
        <v>0</v>
      </c>
      <c r="P200" s="153">
        <f t="shared" si="112"/>
        <v>2.2839580556429154E-2</v>
      </c>
      <c r="Q200" s="324"/>
      <c r="R200" s="325"/>
    </row>
    <row r="201" spans="2:18" s="3" customFormat="1">
      <c r="B201" s="149" t="s">
        <v>179</v>
      </c>
      <c r="C201" s="203" t="s">
        <v>334</v>
      </c>
      <c r="D201" s="337">
        <f>SUM(D202:D205)</f>
        <v>276.93</v>
      </c>
      <c r="E201" s="413">
        <f>SUM(E202:E205)</f>
        <v>39.784212783336635</v>
      </c>
      <c r="F201" s="153">
        <f t="shared" si="104"/>
        <v>62.559256279203453</v>
      </c>
      <c r="G201" s="154">
        <f>SUM(G202:G205)</f>
        <v>17.079325539186009</v>
      </c>
      <c r="H201" s="155">
        <f>SUM(H202:H205)</f>
        <v>1.2138406792852474</v>
      </c>
      <c r="I201" s="156">
        <f>SUM(I202:I205)</f>
        <v>44.266090060732196</v>
      </c>
      <c r="J201" s="153">
        <f t="shared" si="100"/>
        <v>103.50412243398054</v>
      </c>
      <c r="K201" s="154">
        <f t="shared" ref="K201:P201" si="113">SUM(K202:K205)</f>
        <v>56.744120545511755</v>
      </c>
      <c r="L201" s="155">
        <f t="shared" si="113"/>
        <v>30.390075444954615</v>
      </c>
      <c r="M201" s="155">
        <f t="shared" si="113"/>
        <v>16.369926443514167</v>
      </c>
      <c r="N201" s="151">
        <f t="shared" si="113"/>
        <v>0</v>
      </c>
      <c r="O201" s="152">
        <f t="shared" si="113"/>
        <v>0</v>
      </c>
      <c r="P201" s="153">
        <f t="shared" si="113"/>
        <v>71.082408503479357</v>
      </c>
      <c r="Q201" s="324"/>
      <c r="R201" s="325"/>
    </row>
    <row r="202" spans="2:18">
      <c r="B202" s="258" t="s">
        <v>509</v>
      </c>
      <c r="C202" s="259" t="s">
        <v>336</v>
      </c>
      <c r="D202" s="334">
        <v>271.14999999999998</v>
      </c>
      <c r="E202" s="414">
        <f>IFERROR($D202*E$237/100, 0)</f>
        <v>38.953848612290933</v>
      </c>
      <c r="F202" s="205">
        <f t="shared" si="104"/>
        <v>61.253538223038369</v>
      </c>
      <c r="G202" s="209">
        <f t="shared" ref="G202:I205" si="114">IFERROR($D202*G$237/100, 0)</f>
        <v>16.722850972990596</v>
      </c>
      <c r="H202" s="210">
        <f t="shared" si="114"/>
        <v>1.1885057602578084</v>
      </c>
      <c r="I202" s="211">
        <f t="shared" si="114"/>
        <v>43.342181489789965</v>
      </c>
      <c r="J202" s="205">
        <f t="shared" si="100"/>
        <v>101.34381539729831</v>
      </c>
      <c r="K202" s="209">
        <f t="shared" ref="K202:P205" si="115">IFERROR($D202*K$237/100, 0)</f>
        <v>55.559774260338401</v>
      </c>
      <c r="L202" s="210">
        <f t="shared" si="115"/>
        <v>29.755782894231192</v>
      </c>
      <c r="M202" s="210">
        <f t="shared" si="115"/>
        <v>16.028258242728725</v>
      </c>
      <c r="N202" s="207">
        <f t="shared" si="115"/>
        <v>0</v>
      </c>
      <c r="O202" s="208">
        <f t="shared" si="115"/>
        <v>0</v>
      </c>
      <c r="P202" s="205">
        <f t="shared" si="115"/>
        <v>69.598797767372361</v>
      </c>
      <c r="Q202" s="335"/>
      <c r="R202" s="336"/>
    </row>
    <row r="203" spans="2:18">
      <c r="B203" s="258" t="s">
        <v>510</v>
      </c>
      <c r="C203" s="259" t="s">
        <v>338</v>
      </c>
      <c r="D203" s="334">
        <v>4.97</v>
      </c>
      <c r="E203" s="414">
        <f>IFERROR($D203*E$237/100, 0)</f>
        <v>0.71399825780227166</v>
      </c>
      <c r="F203" s="205">
        <f t="shared" si="104"/>
        <v>1.1227368060796632</v>
      </c>
      <c r="G203" s="209">
        <f t="shared" si="114"/>
        <v>0.30651878788774944</v>
      </c>
      <c r="H203" s="210">
        <f t="shared" si="114"/>
        <v>2.1784523800410502E-2</v>
      </c>
      <c r="I203" s="211">
        <f t="shared" si="114"/>
        <v>0.79443349439150324</v>
      </c>
      <c r="J203" s="205">
        <f t="shared" si="100"/>
        <v>1.8575650471125678</v>
      </c>
      <c r="K203" s="209">
        <f t="shared" si="115"/>
        <v>1.0183738818878181</v>
      </c>
      <c r="L203" s="210">
        <f t="shared" si="115"/>
        <v>0.54540380226564278</v>
      </c>
      <c r="M203" s="210">
        <f t="shared" si="115"/>
        <v>0.29378736295910668</v>
      </c>
      <c r="N203" s="207">
        <f t="shared" si="115"/>
        <v>0</v>
      </c>
      <c r="O203" s="208">
        <f t="shared" si="115"/>
        <v>0</v>
      </c>
      <c r="P203" s="205">
        <f t="shared" si="115"/>
        <v>1.2756998890054974</v>
      </c>
      <c r="Q203" s="335"/>
      <c r="R203" s="336"/>
    </row>
    <row r="204" spans="2:18">
      <c r="B204" s="258" t="s">
        <v>511</v>
      </c>
      <c r="C204" s="259" t="s">
        <v>340</v>
      </c>
      <c r="D204" s="334">
        <v>0</v>
      </c>
      <c r="E204" s="414">
        <f>IFERROR($D204*E$237/100, 0)</f>
        <v>0</v>
      </c>
      <c r="F204" s="205">
        <f t="shared" si="104"/>
        <v>0</v>
      </c>
      <c r="G204" s="209">
        <f t="shared" si="114"/>
        <v>0</v>
      </c>
      <c r="H204" s="210">
        <f t="shared" si="114"/>
        <v>0</v>
      </c>
      <c r="I204" s="211">
        <f t="shared" si="114"/>
        <v>0</v>
      </c>
      <c r="J204" s="205">
        <f t="shared" si="100"/>
        <v>0</v>
      </c>
      <c r="K204" s="209">
        <f t="shared" si="115"/>
        <v>0</v>
      </c>
      <c r="L204" s="210">
        <f t="shared" si="115"/>
        <v>0</v>
      </c>
      <c r="M204" s="210">
        <f t="shared" si="115"/>
        <v>0</v>
      </c>
      <c r="N204" s="207">
        <f t="shared" si="115"/>
        <v>0</v>
      </c>
      <c r="O204" s="208">
        <f t="shared" si="115"/>
        <v>0</v>
      </c>
      <c r="P204" s="205">
        <f t="shared" si="115"/>
        <v>0</v>
      </c>
      <c r="Q204" s="335"/>
      <c r="R204" s="336"/>
    </row>
    <row r="205" spans="2:18" ht="15.75" thickBot="1">
      <c r="B205" s="258" t="s">
        <v>512</v>
      </c>
      <c r="C205" s="259" t="s">
        <v>342</v>
      </c>
      <c r="D205" s="334">
        <v>0.81</v>
      </c>
      <c r="E205" s="414">
        <f>IFERROR($D205*E$237/100, 0)</f>
        <v>0.1163659132434286</v>
      </c>
      <c r="F205" s="205">
        <f t="shared" si="104"/>
        <v>0.18298125008541796</v>
      </c>
      <c r="G205" s="209">
        <f t="shared" si="114"/>
        <v>4.9955778307661382E-2</v>
      </c>
      <c r="H205" s="210">
        <f t="shared" si="114"/>
        <v>3.5503952270286741E-3</v>
      </c>
      <c r="I205" s="211">
        <f t="shared" si="114"/>
        <v>0.1294750765507279</v>
      </c>
      <c r="J205" s="205">
        <f t="shared" si="100"/>
        <v>0.30274198956965387</v>
      </c>
      <c r="K205" s="209">
        <f t="shared" si="115"/>
        <v>0.16597240328553975</v>
      </c>
      <c r="L205" s="210">
        <f t="shared" si="115"/>
        <v>8.8888748457780817E-2</v>
      </c>
      <c r="M205" s="210">
        <f t="shared" si="115"/>
        <v>4.7880837826333282E-2</v>
      </c>
      <c r="N205" s="207">
        <f t="shared" si="115"/>
        <v>0</v>
      </c>
      <c r="O205" s="208">
        <f t="shared" si="115"/>
        <v>0</v>
      </c>
      <c r="P205" s="205">
        <f t="shared" si="115"/>
        <v>0.20791084710149962</v>
      </c>
      <c r="Q205" s="335"/>
      <c r="R205" s="336"/>
    </row>
    <row r="206" spans="2:18" s="3" customFormat="1">
      <c r="B206" s="149" t="s">
        <v>181</v>
      </c>
      <c r="C206" s="203" t="s">
        <v>344</v>
      </c>
      <c r="D206" s="337">
        <f>SUM(D207:D209)</f>
        <v>7.9</v>
      </c>
      <c r="E206" s="413">
        <f>SUM(E207:E209)</f>
        <v>1.1349268081766493</v>
      </c>
      <c r="F206" s="153">
        <f t="shared" si="104"/>
        <v>1.7846319452775332</v>
      </c>
      <c r="G206" s="154">
        <f>SUM(G207:G209)</f>
        <v>0.48722302300064801</v>
      </c>
      <c r="H206" s="155">
        <f>SUM(H207:H209)</f>
        <v>3.4627311473489533E-2</v>
      </c>
      <c r="I206" s="156">
        <f>SUM(I207:I209)</f>
        <v>1.2627816108033956</v>
      </c>
      <c r="J206" s="153">
        <f t="shared" si="100"/>
        <v>2.9526687871608219</v>
      </c>
      <c r="K206" s="154">
        <f t="shared" ref="K206:P206" si="116">SUM(K207:K209)</f>
        <v>1.6187431925379807</v>
      </c>
      <c r="L206" s="155">
        <f t="shared" si="116"/>
        <v>0.86693964545243019</v>
      </c>
      <c r="M206" s="155">
        <f t="shared" si="116"/>
        <v>0.46698594917041109</v>
      </c>
      <c r="N206" s="151">
        <f t="shared" si="116"/>
        <v>0</v>
      </c>
      <c r="O206" s="152">
        <f t="shared" si="116"/>
        <v>0</v>
      </c>
      <c r="P206" s="153">
        <f t="shared" si="116"/>
        <v>2.027772459384996</v>
      </c>
      <c r="Q206" s="324"/>
      <c r="R206" s="325"/>
    </row>
    <row r="207" spans="2:18">
      <c r="B207" s="258" t="s">
        <v>513</v>
      </c>
      <c r="C207" s="259" t="s">
        <v>350</v>
      </c>
      <c r="D207" s="334">
        <v>0.57999999999999996</v>
      </c>
      <c r="E207" s="414">
        <f>IFERROR($D207*E$237/100, 0)</f>
        <v>8.3323740347146374E-2</v>
      </c>
      <c r="F207" s="205">
        <f t="shared" si="104"/>
        <v>0.13102361117227457</v>
      </c>
      <c r="G207" s="209">
        <f t="shared" ref="G207:I209" si="117">IFERROR($D207*G$237/100, 0)</f>
        <v>3.5770804220300739E-2</v>
      </c>
      <c r="H207" s="210">
        <f t="shared" si="117"/>
        <v>2.5422583107118897E-3</v>
      </c>
      <c r="I207" s="211">
        <f t="shared" si="117"/>
        <v>9.2710548641261936E-2</v>
      </c>
      <c r="J207" s="205">
        <f t="shared" si="100"/>
        <v>0.21677821475357931</v>
      </c>
      <c r="K207" s="209">
        <f t="shared" ref="K207:P209" si="118">IFERROR($D207*K$237/100, 0)</f>
        <v>0.11884443692050996</v>
      </c>
      <c r="L207" s="210">
        <f t="shared" si="118"/>
        <v>6.3648733463596133E-2</v>
      </c>
      <c r="M207" s="210">
        <f t="shared" si="118"/>
        <v>3.428504436947321E-2</v>
      </c>
      <c r="N207" s="207">
        <f t="shared" si="118"/>
        <v>0</v>
      </c>
      <c r="O207" s="208">
        <f t="shared" si="118"/>
        <v>0</v>
      </c>
      <c r="P207" s="205">
        <f t="shared" si="118"/>
        <v>0.14887443372699971</v>
      </c>
      <c r="Q207" s="335"/>
      <c r="R207" s="336"/>
    </row>
    <row r="208" spans="2:18">
      <c r="B208" s="261" t="s">
        <v>514</v>
      </c>
      <c r="C208" s="259" t="s">
        <v>352</v>
      </c>
      <c r="D208" s="341">
        <v>0.28999999999999998</v>
      </c>
      <c r="E208" s="414">
        <f>IFERROR($D208*E$237/100, 0)</f>
        <v>4.1661870173573187E-2</v>
      </c>
      <c r="F208" s="205">
        <f t="shared" si="104"/>
        <v>6.5511805586137284E-2</v>
      </c>
      <c r="G208" s="209">
        <f t="shared" si="117"/>
        <v>1.788540211015037E-2</v>
      </c>
      <c r="H208" s="210">
        <f t="shared" si="117"/>
        <v>1.2711291553559449E-3</v>
      </c>
      <c r="I208" s="211">
        <f t="shared" si="117"/>
        <v>4.6355274320630968E-2</v>
      </c>
      <c r="J208" s="205">
        <f t="shared" si="100"/>
        <v>0.10838910737678965</v>
      </c>
      <c r="K208" s="209">
        <f t="shared" si="118"/>
        <v>5.9422218460254979E-2</v>
      </c>
      <c r="L208" s="210">
        <f t="shared" si="118"/>
        <v>3.1824366731798066E-2</v>
      </c>
      <c r="M208" s="210">
        <f t="shared" si="118"/>
        <v>1.7142522184736605E-2</v>
      </c>
      <c r="N208" s="207">
        <f t="shared" si="118"/>
        <v>0</v>
      </c>
      <c r="O208" s="208">
        <f t="shared" si="118"/>
        <v>0</v>
      </c>
      <c r="P208" s="205">
        <f t="shared" si="118"/>
        <v>7.4437216863499855E-2</v>
      </c>
      <c r="Q208" s="335"/>
      <c r="R208" s="336"/>
    </row>
    <row r="209" spans="2:18" ht="15.75" thickBot="1">
      <c r="B209" s="261" t="s">
        <v>515</v>
      </c>
      <c r="C209" s="249" t="s">
        <v>354</v>
      </c>
      <c r="D209" s="334">
        <v>7.03</v>
      </c>
      <c r="E209" s="414">
        <f>IFERROR($D209*E$237/100, 0)</f>
        <v>1.0099411976559296</v>
      </c>
      <c r="F209" s="205">
        <f t="shared" si="104"/>
        <v>1.5880965285191213</v>
      </c>
      <c r="G209" s="209">
        <f t="shared" si="117"/>
        <v>0.43356681667019692</v>
      </c>
      <c r="H209" s="210">
        <f t="shared" si="117"/>
        <v>3.0813924007421702E-2</v>
      </c>
      <c r="I209" s="211">
        <f t="shared" si="117"/>
        <v>1.1237157878415027</v>
      </c>
      <c r="J209" s="205">
        <f t="shared" si="100"/>
        <v>2.6275014650304529</v>
      </c>
      <c r="K209" s="209">
        <f t="shared" si="118"/>
        <v>1.4404765371572157</v>
      </c>
      <c r="L209" s="210">
        <f t="shared" si="118"/>
        <v>0.77146654525703595</v>
      </c>
      <c r="M209" s="210">
        <f t="shared" si="118"/>
        <v>0.41555838261620126</v>
      </c>
      <c r="N209" s="207">
        <f t="shared" si="118"/>
        <v>0</v>
      </c>
      <c r="O209" s="208">
        <f t="shared" si="118"/>
        <v>0</v>
      </c>
      <c r="P209" s="205">
        <f t="shared" si="118"/>
        <v>1.8044608087944964</v>
      </c>
      <c r="Q209" s="335"/>
      <c r="R209" s="336"/>
    </row>
    <row r="210" spans="2:18" s="3" customFormat="1">
      <c r="B210" s="149" t="s">
        <v>183</v>
      </c>
      <c r="C210" s="203" t="s">
        <v>356</v>
      </c>
      <c r="D210" s="337">
        <f>SUM(D211:D212)</f>
        <v>0.52</v>
      </c>
      <c r="E210" s="413">
        <f>SUM(E211:E212)</f>
        <v>7.4704043069855383E-2</v>
      </c>
      <c r="F210" s="153">
        <f t="shared" si="104"/>
        <v>0.11746944449928066</v>
      </c>
      <c r="G210" s="154">
        <f>SUM(G211:G212)</f>
        <v>3.2070376197511012E-2</v>
      </c>
      <c r="H210" s="155">
        <f>SUM(H211:H212)</f>
        <v>2.2792660716727288E-3</v>
      </c>
      <c r="I210" s="156">
        <f>SUM(I211:I212)</f>
        <v>8.311980223009692E-2</v>
      </c>
      <c r="J210" s="153">
        <f t="shared" si="100"/>
        <v>0.19435288219286423</v>
      </c>
      <c r="K210" s="154">
        <f t="shared" ref="K210:P210" si="119">SUM(K211:K212)</f>
        <v>0.10655018482528479</v>
      </c>
      <c r="L210" s="155">
        <f t="shared" si="119"/>
        <v>5.7064381725982743E-2</v>
      </c>
      <c r="M210" s="155">
        <f t="shared" si="119"/>
        <v>3.0738315641596677E-2</v>
      </c>
      <c r="N210" s="151">
        <f t="shared" si="119"/>
        <v>0</v>
      </c>
      <c r="O210" s="152">
        <f t="shared" si="119"/>
        <v>0</v>
      </c>
      <c r="P210" s="153">
        <f t="shared" si="119"/>
        <v>0.13347363023799974</v>
      </c>
      <c r="Q210" s="324"/>
      <c r="R210" s="325"/>
    </row>
    <row r="211" spans="2:18">
      <c r="B211" s="258" t="s">
        <v>516</v>
      </c>
      <c r="C211" s="259" t="s">
        <v>358</v>
      </c>
      <c r="D211" s="334">
        <v>0.52</v>
      </c>
      <c r="E211" s="414">
        <f>IFERROR($D211*E$237/100, 0)</f>
        <v>7.4704043069855383E-2</v>
      </c>
      <c r="F211" s="205">
        <f t="shared" si="104"/>
        <v>0.11746944449928066</v>
      </c>
      <c r="G211" s="209">
        <f t="shared" ref="G211:I212" si="120">IFERROR($D211*G$237/100, 0)</f>
        <v>3.2070376197511012E-2</v>
      </c>
      <c r="H211" s="210">
        <f t="shared" si="120"/>
        <v>2.2792660716727288E-3</v>
      </c>
      <c r="I211" s="211">
        <f t="shared" si="120"/>
        <v>8.311980223009692E-2</v>
      </c>
      <c r="J211" s="205">
        <f t="shared" si="100"/>
        <v>0.19435288219286423</v>
      </c>
      <c r="K211" s="209">
        <f t="shared" ref="K211:P212" si="121">IFERROR($D211*K$237/100, 0)</f>
        <v>0.10655018482528479</v>
      </c>
      <c r="L211" s="210">
        <f t="shared" si="121"/>
        <v>5.7064381725982743E-2</v>
      </c>
      <c r="M211" s="210">
        <f t="shared" si="121"/>
        <v>3.0738315641596677E-2</v>
      </c>
      <c r="N211" s="207">
        <f t="shared" si="121"/>
        <v>0</v>
      </c>
      <c r="O211" s="208">
        <f t="shared" si="121"/>
        <v>0</v>
      </c>
      <c r="P211" s="205">
        <f t="shared" si="121"/>
        <v>0.13347363023799974</v>
      </c>
      <c r="Q211" s="335"/>
      <c r="R211" s="336"/>
    </row>
    <row r="212" spans="2:18" ht="15.75" thickBot="1">
      <c r="B212" s="261" t="s">
        <v>517</v>
      </c>
      <c r="C212" s="249" t="s">
        <v>518</v>
      </c>
      <c r="D212" s="334">
        <v>0</v>
      </c>
      <c r="E212" s="414">
        <f>IFERROR($D212*E$237/100, 0)</f>
        <v>0</v>
      </c>
      <c r="F212" s="205">
        <f t="shared" si="104"/>
        <v>0</v>
      </c>
      <c r="G212" s="209">
        <f t="shared" si="120"/>
        <v>0</v>
      </c>
      <c r="H212" s="210">
        <f t="shared" si="120"/>
        <v>0</v>
      </c>
      <c r="I212" s="211">
        <f t="shared" si="120"/>
        <v>0</v>
      </c>
      <c r="J212" s="205">
        <f t="shared" si="100"/>
        <v>0</v>
      </c>
      <c r="K212" s="209">
        <f t="shared" si="121"/>
        <v>0</v>
      </c>
      <c r="L212" s="210">
        <f t="shared" si="121"/>
        <v>0</v>
      </c>
      <c r="M212" s="210">
        <f t="shared" si="121"/>
        <v>0</v>
      </c>
      <c r="N212" s="207">
        <f t="shared" si="121"/>
        <v>0</v>
      </c>
      <c r="O212" s="208">
        <f t="shared" si="121"/>
        <v>0</v>
      </c>
      <c r="P212" s="205">
        <f t="shared" si="121"/>
        <v>0</v>
      </c>
      <c r="Q212" s="335"/>
      <c r="R212" s="336"/>
    </row>
    <row r="213" spans="2:18" s="3" customFormat="1">
      <c r="B213" s="149" t="s">
        <v>185</v>
      </c>
      <c r="C213" s="203" t="s">
        <v>362</v>
      </c>
      <c r="D213" s="337">
        <f>SUM(D214:D228)</f>
        <v>56.440000000000005</v>
      </c>
      <c r="E213" s="413">
        <f>SUM(E214:E228)</f>
        <v>8.1082619055050742</v>
      </c>
      <c r="F213" s="153">
        <f t="shared" si="104"/>
        <v>12.749952783729615</v>
      </c>
      <c r="G213" s="154">
        <f>SUM(G214:G228)</f>
        <v>3.4808692934375411</v>
      </c>
      <c r="H213" s="155">
        <f>SUM(H214:H228)</f>
        <v>0.24738803285617081</v>
      </c>
      <c r="I213" s="156">
        <f>SUM(I214:I228)</f>
        <v>9.0216954574359036</v>
      </c>
      <c r="J213" s="153">
        <f t="shared" si="100"/>
        <v>21.094762828779338</v>
      </c>
      <c r="K213" s="154">
        <f t="shared" ref="K213:P213" si="122">SUM(K214:K228)</f>
        <v>11.564793137575142</v>
      </c>
      <c r="L213" s="155">
        <f t="shared" si="122"/>
        <v>6.1936802011816647</v>
      </c>
      <c r="M213" s="155">
        <f t="shared" si="122"/>
        <v>3.3362894900225313</v>
      </c>
      <c r="N213" s="151">
        <f t="shared" si="122"/>
        <v>0</v>
      </c>
      <c r="O213" s="152">
        <f t="shared" si="122"/>
        <v>0</v>
      </c>
      <c r="P213" s="153">
        <f t="shared" si="122"/>
        <v>14.487022481985973</v>
      </c>
      <c r="Q213" s="324"/>
      <c r="R213" s="325"/>
    </row>
    <row r="214" spans="2:18">
      <c r="B214" s="258" t="s">
        <v>519</v>
      </c>
      <c r="C214" s="259" t="s">
        <v>364</v>
      </c>
      <c r="D214" s="334">
        <v>20.239999999999998</v>
      </c>
      <c r="E214" s="414">
        <f t="shared" ref="E214:E229" si="123">IFERROR($D214*E$237/100, 0)</f>
        <v>2.9077112148728328</v>
      </c>
      <c r="F214" s="205">
        <f t="shared" si="104"/>
        <v>4.5722722243566158</v>
      </c>
      <c r="G214" s="209">
        <f t="shared" ref="G214:I229" si="124">IFERROR($D214*G$237/100, 0)</f>
        <v>1.2482777196877362</v>
      </c>
      <c r="H214" s="210">
        <f t="shared" si="124"/>
        <v>8.8716048635876982E-2</v>
      </c>
      <c r="I214" s="211">
        <f t="shared" si="124"/>
        <v>3.235278456033003</v>
      </c>
      <c r="J214" s="205">
        <f t="shared" si="100"/>
        <v>7.5648121838145599</v>
      </c>
      <c r="K214" s="209">
        <f t="shared" ref="K214:P223" si="125">IFERROR($D214*K$237/100, 0)</f>
        <v>4.1472610401226229</v>
      </c>
      <c r="L214" s="210">
        <f t="shared" si="125"/>
        <v>2.2211213194882511</v>
      </c>
      <c r="M214" s="210">
        <f t="shared" si="125"/>
        <v>1.1964298242036859</v>
      </c>
      <c r="N214" s="207">
        <f t="shared" si="125"/>
        <v>0</v>
      </c>
      <c r="O214" s="208">
        <f t="shared" si="125"/>
        <v>0</v>
      </c>
      <c r="P214" s="205">
        <f t="shared" si="125"/>
        <v>5.1952043769559895</v>
      </c>
      <c r="Q214" s="335"/>
      <c r="R214" s="336"/>
    </row>
    <row r="215" spans="2:18">
      <c r="B215" s="258" t="s">
        <v>520</v>
      </c>
      <c r="C215" s="259" t="s">
        <v>366</v>
      </c>
      <c r="D215" s="334">
        <v>0.4</v>
      </c>
      <c r="E215" s="414">
        <f t="shared" si="123"/>
        <v>5.746464851527338E-2</v>
      </c>
      <c r="F215" s="205">
        <f t="shared" si="104"/>
        <v>9.0361111153292831E-2</v>
      </c>
      <c r="G215" s="209">
        <f t="shared" si="124"/>
        <v>2.4669520151931548E-2</v>
      </c>
      <c r="H215" s="210">
        <f t="shared" si="124"/>
        <v>1.7532815935944069E-3</v>
      </c>
      <c r="I215" s="211">
        <f t="shared" si="124"/>
        <v>6.3938309407766875E-2</v>
      </c>
      <c r="J215" s="205">
        <f t="shared" si="100"/>
        <v>0.14950221707143402</v>
      </c>
      <c r="K215" s="209">
        <f t="shared" si="125"/>
        <v>8.1961680634834458E-2</v>
      </c>
      <c r="L215" s="210">
        <f t="shared" si="125"/>
        <v>4.3895678250755958E-2</v>
      </c>
      <c r="M215" s="210">
        <f t="shared" si="125"/>
        <v>2.3644858185843595E-2</v>
      </c>
      <c r="N215" s="207">
        <f t="shared" si="125"/>
        <v>0</v>
      </c>
      <c r="O215" s="208">
        <f t="shared" si="125"/>
        <v>0</v>
      </c>
      <c r="P215" s="205">
        <f t="shared" si="125"/>
        <v>0.10267202325999981</v>
      </c>
      <c r="Q215" s="335"/>
      <c r="R215" s="336"/>
    </row>
    <row r="216" spans="2:18">
      <c r="B216" s="258" t="s">
        <v>521</v>
      </c>
      <c r="C216" s="259" t="s">
        <v>368</v>
      </c>
      <c r="D216" s="334">
        <v>0</v>
      </c>
      <c r="E216" s="414">
        <f t="shared" si="123"/>
        <v>0</v>
      </c>
      <c r="F216" s="205">
        <f t="shared" si="104"/>
        <v>0</v>
      </c>
      <c r="G216" s="209">
        <f t="shared" si="124"/>
        <v>0</v>
      </c>
      <c r="H216" s="210">
        <f t="shared" si="124"/>
        <v>0</v>
      </c>
      <c r="I216" s="211">
        <f t="shared" si="124"/>
        <v>0</v>
      </c>
      <c r="J216" s="205">
        <f t="shared" si="100"/>
        <v>0</v>
      </c>
      <c r="K216" s="209">
        <f t="shared" si="125"/>
        <v>0</v>
      </c>
      <c r="L216" s="210">
        <f t="shared" si="125"/>
        <v>0</v>
      </c>
      <c r="M216" s="210">
        <f t="shared" si="125"/>
        <v>0</v>
      </c>
      <c r="N216" s="207">
        <f t="shared" si="125"/>
        <v>0</v>
      </c>
      <c r="O216" s="208">
        <f t="shared" si="125"/>
        <v>0</v>
      </c>
      <c r="P216" s="205">
        <f t="shared" si="125"/>
        <v>0</v>
      </c>
      <c r="Q216" s="335"/>
      <c r="R216" s="336"/>
    </row>
    <row r="217" spans="2:18">
      <c r="B217" s="258" t="s">
        <v>522</v>
      </c>
      <c r="C217" s="259" t="s">
        <v>370</v>
      </c>
      <c r="D217" s="334">
        <v>8.42</v>
      </c>
      <c r="E217" s="414">
        <f t="shared" si="123"/>
        <v>1.2096308512465044</v>
      </c>
      <c r="F217" s="205">
        <f t="shared" si="104"/>
        <v>1.9021013897768135</v>
      </c>
      <c r="G217" s="209">
        <f t="shared" si="124"/>
        <v>0.51929339919815898</v>
      </c>
      <c r="H217" s="210">
        <f t="shared" si="124"/>
        <v>3.6906577545162265E-2</v>
      </c>
      <c r="I217" s="211">
        <f t="shared" si="124"/>
        <v>1.3459014130334923</v>
      </c>
      <c r="J217" s="205">
        <f t="shared" si="100"/>
        <v>3.1470216693536859</v>
      </c>
      <c r="K217" s="209">
        <f t="shared" si="125"/>
        <v>1.725293377363265</v>
      </c>
      <c r="L217" s="210">
        <f t="shared" si="125"/>
        <v>0.9240040271784129</v>
      </c>
      <c r="M217" s="210">
        <f t="shared" si="125"/>
        <v>0.49772426481200766</v>
      </c>
      <c r="N217" s="207">
        <f t="shared" si="125"/>
        <v>0</v>
      </c>
      <c r="O217" s="208">
        <f t="shared" si="125"/>
        <v>0</v>
      </c>
      <c r="P217" s="205">
        <f t="shared" si="125"/>
        <v>2.1612460896229959</v>
      </c>
      <c r="Q217" s="335"/>
      <c r="R217" s="336"/>
    </row>
    <row r="218" spans="2:18">
      <c r="B218" s="258" t="s">
        <v>523</v>
      </c>
      <c r="C218" s="259" t="s">
        <v>372</v>
      </c>
      <c r="D218" s="334">
        <v>0</v>
      </c>
      <c r="E218" s="414">
        <f t="shared" si="123"/>
        <v>0</v>
      </c>
      <c r="F218" s="205">
        <f t="shared" si="104"/>
        <v>0</v>
      </c>
      <c r="G218" s="209">
        <f t="shared" si="124"/>
        <v>0</v>
      </c>
      <c r="H218" s="210">
        <f t="shared" si="124"/>
        <v>0</v>
      </c>
      <c r="I218" s="211">
        <f t="shared" si="124"/>
        <v>0</v>
      </c>
      <c r="J218" s="205">
        <f t="shared" si="100"/>
        <v>0</v>
      </c>
      <c r="K218" s="209">
        <f t="shared" si="125"/>
        <v>0</v>
      </c>
      <c r="L218" s="210">
        <f t="shared" si="125"/>
        <v>0</v>
      </c>
      <c r="M218" s="210">
        <f t="shared" si="125"/>
        <v>0</v>
      </c>
      <c r="N218" s="207">
        <f t="shared" si="125"/>
        <v>0</v>
      </c>
      <c r="O218" s="208">
        <f t="shared" si="125"/>
        <v>0</v>
      </c>
      <c r="P218" s="205">
        <f t="shared" si="125"/>
        <v>0</v>
      </c>
      <c r="Q218" s="335"/>
      <c r="R218" s="336"/>
    </row>
    <row r="219" spans="2:18">
      <c r="B219" s="258" t="s">
        <v>524</v>
      </c>
      <c r="C219" s="259" t="s">
        <v>374</v>
      </c>
      <c r="D219" s="334">
        <v>2.06</v>
      </c>
      <c r="E219" s="414">
        <f t="shared" si="123"/>
        <v>0.29594293985365788</v>
      </c>
      <c r="F219" s="205">
        <f t="shared" si="104"/>
        <v>0.465359722439458</v>
      </c>
      <c r="G219" s="209">
        <f t="shared" si="124"/>
        <v>0.12704802878244748</v>
      </c>
      <c r="H219" s="210">
        <f t="shared" si="124"/>
        <v>9.0294002070111963E-3</v>
      </c>
      <c r="I219" s="211">
        <f t="shared" si="124"/>
        <v>0.32928229344999932</v>
      </c>
      <c r="J219" s="205">
        <f t="shared" si="100"/>
        <v>0.76993641791788514</v>
      </c>
      <c r="K219" s="209">
        <f t="shared" si="125"/>
        <v>0.42210265526939744</v>
      </c>
      <c r="L219" s="210">
        <f t="shared" si="125"/>
        <v>0.22606274299139317</v>
      </c>
      <c r="M219" s="210">
        <f t="shared" si="125"/>
        <v>0.12177101965709453</v>
      </c>
      <c r="N219" s="207">
        <f t="shared" si="125"/>
        <v>0</v>
      </c>
      <c r="O219" s="208">
        <f t="shared" si="125"/>
        <v>0</v>
      </c>
      <c r="P219" s="205">
        <f t="shared" si="125"/>
        <v>0.52876091978899897</v>
      </c>
      <c r="Q219" s="335"/>
      <c r="R219" s="336"/>
    </row>
    <row r="220" spans="2:18">
      <c r="B220" s="258" t="s">
        <v>525</v>
      </c>
      <c r="C220" s="259" t="s">
        <v>376</v>
      </c>
      <c r="D220" s="334">
        <v>3.71</v>
      </c>
      <c r="E220" s="414">
        <f t="shared" si="123"/>
        <v>0.5329846149791605</v>
      </c>
      <c r="F220" s="205">
        <f t="shared" si="104"/>
        <v>0.83809930594679094</v>
      </c>
      <c r="G220" s="209">
        <f t="shared" si="124"/>
        <v>0.2288097994091651</v>
      </c>
      <c r="H220" s="210">
        <f t="shared" si="124"/>
        <v>1.6261686780588123E-2</v>
      </c>
      <c r="I220" s="211">
        <f t="shared" si="124"/>
        <v>0.59302781975703767</v>
      </c>
      <c r="J220" s="205">
        <f t="shared" si="100"/>
        <v>1.3866330633375503</v>
      </c>
      <c r="K220" s="209">
        <f t="shared" si="125"/>
        <v>0.76019458788808947</v>
      </c>
      <c r="L220" s="210">
        <f t="shared" si="125"/>
        <v>0.40713241577576148</v>
      </c>
      <c r="M220" s="210">
        <f t="shared" si="125"/>
        <v>0.21930605967369934</v>
      </c>
      <c r="N220" s="207">
        <f t="shared" si="125"/>
        <v>0</v>
      </c>
      <c r="O220" s="208">
        <f t="shared" si="125"/>
        <v>0</v>
      </c>
      <c r="P220" s="205">
        <f t="shared" si="125"/>
        <v>0.95228301573649821</v>
      </c>
      <c r="Q220" s="335"/>
      <c r="R220" s="336"/>
    </row>
    <row r="221" spans="2:18">
      <c r="B221" s="258" t="s">
        <v>526</v>
      </c>
      <c r="C221" s="259" t="s">
        <v>378</v>
      </c>
      <c r="D221" s="334">
        <v>0.84</v>
      </c>
      <c r="E221" s="414">
        <f t="shared" si="123"/>
        <v>0.12067576188207407</v>
      </c>
      <c r="F221" s="205">
        <f t="shared" si="104"/>
        <v>0.18975833342191492</v>
      </c>
      <c r="G221" s="209">
        <f t="shared" si="124"/>
        <v>5.1805992319056242E-2</v>
      </c>
      <c r="H221" s="210">
        <f t="shared" si="124"/>
        <v>3.6818913465482546E-3</v>
      </c>
      <c r="I221" s="211">
        <f t="shared" si="124"/>
        <v>0.13427044975631042</v>
      </c>
      <c r="J221" s="205">
        <f t="shared" si="100"/>
        <v>0.31395465585001142</v>
      </c>
      <c r="K221" s="209">
        <f t="shared" si="125"/>
        <v>0.17211952933315236</v>
      </c>
      <c r="L221" s="210">
        <f t="shared" si="125"/>
        <v>9.2180924326587504E-2</v>
      </c>
      <c r="M221" s="210">
        <f t="shared" si="125"/>
        <v>4.9654202190271543E-2</v>
      </c>
      <c r="N221" s="207">
        <f t="shared" si="125"/>
        <v>0</v>
      </c>
      <c r="O221" s="208">
        <f t="shared" si="125"/>
        <v>0</v>
      </c>
      <c r="P221" s="205">
        <f t="shared" si="125"/>
        <v>0.21561124884599958</v>
      </c>
      <c r="Q221" s="335"/>
      <c r="R221" s="336"/>
    </row>
    <row r="222" spans="2:18">
      <c r="B222" s="258" t="s">
        <v>527</v>
      </c>
      <c r="C222" s="259" t="s">
        <v>380</v>
      </c>
      <c r="D222" s="334">
        <v>0</v>
      </c>
      <c r="E222" s="414">
        <f t="shared" si="123"/>
        <v>0</v>
      </c>
      <c r="F222" s="205">
        <f t="shared" si="104"/>
        <v>0</v>
      </c>
      <c r="G222" s="209">
        <f t="shared" si="124"/>
        <v>0</v>
      </c>
      <c r="H222" s="210">
        <f t="shared" si="124"/>
        <v>0</v>
      </c>
      <c r="I222" s="211">
        <f t="shared" si="124"/>
        <v>0</v>
      </c>
      <c r="J222" s="205">
        <f t="shared" si="100"/>
        <v>0</v>
      </c>
      <c r="K222" s="209">
        <f t="shared" si="125"/>
        <v>0</v>
      </c>
      <c r="L222" s="210">
        <f t="shared" si="125"/>
        <v>0</v>
      </c>
      <c r="M222" s="210">
        <f t="shared" si="125"/>
        <v>0</v>
      </c>
      <c r="N222" s="207">
        <f t="shared" si="125"/>
        <v>0</v>
      </c>
      <c r="O222" s="208">
        <f t="shared" si="125"/>
        <v>0</v>
      </c>
      <c r="P222" s="205">
        <f t="shared" si="125"/>
        <v>0</v>
      </c>
      <c r="Q222" s="335"/>
      <c r="R222" s="336"/>
    </row>
    <row r="223" spans="2:18">
      <c r="B223" s="258" t="s">
        <v>528</v>
      </c>
      <c r="C223" s="259" t="s">
        <v>382</v>
      </c>
      <c r="D223" s="334">
        <v>0</v>
      </c>
      <c r="E223" s="414">
        <f t="shared" si="123"/>
        <v>0</v>
      </c>
      <c r="F223" s="205">
        <f t="shared" si="104"/>
        <v>0</v>
      </c>
      <c r="G223" s="209">
        <f t="shared" si="124"/>
        <v>0</v>
      </c>
      <c r="H223" s="210">
        <f t="shared" si="124"/>
        <v>0</v>
      </c>
      <c r="I223" s="211">
        <f t="shared" si="124"/>
        <v>0</v>
      </c>
      <c r="J223" s="205">
        <f t="shared" si="100"/>
        <v>0</v>
      </c>
      <c r="K223" s="209">
        <f t="shared" si="125"/>
        <v>0</v>
      </c>
      <c r="L223" s="210">
        <f t="shared" si="125"/>
        <v>0</v>
      </c>
      <c r="M223" s="210">
        <f t="shared" si="125"/>
        <v>0</v>
      </c>
      <c r="N223" s="207">
        <f t="shared" si="125"/>
        <v>0</v>
      </c>
      <c r="O223" s="208">
        <f t="shared" si="125"/>
        <v>0</v>
      </c>
      <c r="P223" s="205">
        <f t="shared" si="125"/>
        <v>0</v>
      </c>
      <c r="Q223" s="335"/>
      <c r="R223" s="336"/>
    </row>
    <row r="224" spans="2:18">
      <c r="B224" s="258" t="s">
        <v>529</v>
      </c>
      <c r="C224" s="259" t="s">
        <v>384</v>
      </c>
      <c r="D224" s="334">
        <v>0</v>
      </c>
      <c r="E224" s="414">
        <f t="shared" si="123"/>
        <v>0</v>
      </c>
      <c r="F224" s="205">
        <f t="shared" si="104"/>
        <v>0</v>
      </c>
      <c r="G224" s="209">
        <f t="shared" si="124"/>
        <v>0</v>
      </c>
      <c r="H224" s="210">
        <f t="shared" si="124"/>
        <v>0</v>
      </c>
      <c r="I224" s="211">
        <f t="shared" si="124"/>
        <v>0</v>
      </c>
      <c r="J224" s="205">
        <f t="shared" si="100"/>
        <v>0</v>
      </c>
      <c r="K224" s="209">
        <f t="shared" ref="K224:P229" si="126">IFERROR($D224*K$237/100, 0)</f>
        <v>0</v>
      </c>
      <c r="L224" s="210">
        <f t="shared" si="126"/>
        <v>0</v>
      </c>
      <c r="M224" s="210">
        <f t="shared" si="126"/>
        <v>0</v>
      </c>
      <c r="N224" s="207">
        <f t="shared" si="126"/>
        <v>0</v>
      </c>
      <c r="O224" s="208">
        <f t="shared" si="126"/>
        <v>0</v>
      </c>
      <c r="P224" s="205">
        <f t="shared" si="126"/>
        <v>0</v>
      </c>
      <c r="Q224" s="335"/>
      <c r="R224" s="336"/>
    </row>
    <row r="225" spans="2:18">
      <c r="B225" s="258" t="s">
        <v>530</v>
      </c>
      <c r="C225" s="259" t="s">
        <v>386</v>
      </c>
      <c r="D225" s="334">
        <v>14.3</v>
      </c>
      <c r="E225" s="414">
        <f t="shared" si="123"/>
        <v>2.0543611844210234</v>
      </c>
      <c r="F225" s="205">
        <f t="shared" si="104"/>
        <v>3.2304097237302183</v>
      </c>
      <c r="G225" s="209">
        <f t="shared" si="124"/>
        <v>0.88193534543155283</v>
      </c>
      <c r="H225" s="210">
        <f t="shared" si="124"/>
        <v>6.2679816971000057E-2</v>
      </c>
      <c r="I225" s="211">
        <f t="shared" si="124"/>
        <v>2.2857945613276653</v>
      </c>
      <c r="J225" s="205">
        <f t="shared" si="100"/>
        <v>5.3447042603037662</v>
      </c>
      <c r="K225" s="209">
        <f t="shared" si="126"/>
        <v>2.930130082695332</v>
      </c>
      <c r="L225" s="210">
        <f t="shared" si="126"/>
        <v>1.5692704974645255</v>
      </c>
      <c r="M225" s="210">
        <f t="shared" si="126"/>
        <v>0.84530368014390855</v>
      </c>
      <c r="N225" s="207">
        <f t="shared" si="126"/>
        <v>0</v>
      </c>
      <c r="O225" s="208">
        <f t="shared" si="126"/>
        <v>0</v>
      </c>
      <c r="P225" s="205">
        <f t="shared" si="126"/>
        <v>3.6705248315449932</v>
      </c>
      <c r="Q225" s="335"/>
      <c r="R225" s="336"/>
    </row>
    <row r="226" spans="2:18">
      <c r="B226" s="258" t="s">
        <v>531</v>
      </c>
      <c r="C226" s="259" t="s">
        <v>388</v>
      </c>
      <c r="D226" s="334">
        <v>0</v>
      </c>
      <c r="E226" s="414">
        <f t="shared" si="123"/>
        <v>0</v>
      </c>
      <c r="F226" s="205">
        <f t="shared" si="104"/>
        <v>0</v>
      </c>
      <c r="G226" s="209">
        <f t="shared" si="124"/>
        <v>0</v>
      </c>
      <c r="H226" s="210">
        <f t="shared" si="124"/>
        <v>0</v>
      </c>
      <c r="I226" s="211">
        <f t="shared" si="124"/>
        <v>0</v>
      </c>
      <c r="J226" s="205">
        <f t="shared" si="100"/>
        <v>0</v>
      </c>
      <c r="K226" s="209">
        <f t="shared" si="126"/>
        <v>0</v>
      </c>
      <c r="L226" s="210">
        <f t="shared" si="126"/>
        <v>0</v>
      </c>
      <c r="M226" s="210">
        <f t="shared" si="126"/>
        <v>0</v>
      </c>
      <c r="N226" s="207">
        <f t="shared" si="126"/>
        <v>0</v>
      </c>
      <c r="O226" s="208">
        <f t="shared" si="126"/>
        <v>0</v>
      </c>
      <c r="P226" s="205">
        <f t="shared" si="126"/>
        <v>0</v>
      </c>
      <c r="Q226" s="335"/>
      <c r="R226" s="336"/>
    </row>
    <row r="227" spans="2:18">
      <c r="B227" s="261" t="s">
        <v>532</v>
      </c>
      <c r="C227" s="249" t="s">
        <v>533</v>
      </c>
      <c r="D227" s="334">
        <v>3.09</v>
      </c>
      <c r="E227" s="414">
        <f t="shared" si="123"/>
        <v>0.4439144097804868</v>
      </c>
      <c r="F227" s="205">
        <f t="shared" si="104"/>
        <v>0.69803958365918695</v>
      </c>
      <c r="G227" s="209">
        <f t="shared" si="124"/>
        <v>0.19057204317367119</v>
      </c>
      <c r="H227" s="210">
        <f t="shared" si="124"/>
        <v>1.3544100310516791E-2</v>
      </c>
      <c r="I227" s="211">
        <f t="shared" si="124"/>
        <v>0.49392344017499901</v>
      </c>
      <c r="J227" s="205">
        <f t="shared" si="100"/>
        <v>1.1549046268768275</v>
      </c>
      <c r="K227" s="209">
        <f t="shared" si="126"/>
        <v>0.63315398290409608</v>
      </c>
      <c r="L227" s="210">
        <f t="shared" si="126"/>
        <v>0.3390941144870897</v>
      </c>
      <c r="M227" s="210">
        <f t="shared" si="126"/>
        <v>0.18265652948564179</v>
      </c>
      <c r="N227" s="207">
        <f t="shared" si="126"/>
        <v>0</v>
      </c>
      <c r="O227" s="208">
        <f t="shared" si="126"/>
        <v>0</v>
      </c>
      <c r="P227" s="205">
        <f t="shared" si="126"/>
        <v>0.7931413796834984</v>
      </c>
      <c r="Q227" s="335"/>
      <c r="R227" s="336"/>
    </row>
    <row r="228" spans="2:18" ht="15.75" thickBot="1">
      <c r="B228" s="281" t="s">
        <v>534</v>
      </c>
      <c r="C228" s="282" t="s">
        <v>390</v>
      </c>
      <c r="D228" s="334">
        <v>3.38</v>
      </c>
      <c r="E228" s="414">
        <f t="shared" si="123"/>
        <v>0.48557627995406</v>
      </c>
      <c r="F228" s="205">
        <f t="shared" si="104"/>
        <v>0.76355138924532429</v>
      </c>
      <c r="G228" s="209">
        <f t="shared" si="124"/>
        <v>0.20845744528382157</v>
      </c>
      <c r="H228" s="210">
        <f t="shared" si="124"/>
        <v>1.4815229465872737E-2</v>
      </c>
      <c r="I228" s="211">
        <f t="shared" si="124"/>
        <v>0.54027871449563003</v>
      </c>
      <c r="J228" s="205">
        <f t="shared" si="100"/>
        <v>1.263293734253617</v>
      </c>
      <c r="K228" s="209">
        <f t="shared" si="126"/>
        <v>0.69257620136435105</v>
      </c>
      <c r="L228" s="210">
        <f t="shared" si="126"/>
        <v>0.37091848121888782</v>
      </c>
      <c r="M228" s="210">
        <f t="shared" si="126"/>
        <v>0.19979905167037837</v>
      </c>
      <c r="N228" s="207">
        <f t="shared" si="126"/>
        <v>0</v>
      </c>
      <c r="O228" s="208">
        <f t="shared" si="126"/>
        <v>0</v>
      </c>
      <c r="P228" s="205">
        <f t="shared" si="126"/>
        <v>0.86757859654699832</v>
      </c>
      <c r="Q228" s="335"/>
      <c r="R228" s="336"/>
    </row>
    <row r="229" spans="2:18" s="3" customFormat="1" ht="15.75" thickBot="1">
      <c r="B229" s="149" t="s">
        <v>187</v>
      </c>
      <c r="C229" s="203" t="s">
        <v>392</v>
      </c>
      <c r="D229" s="420">
        <v>0.38</v>
      </c>
      <c r="E229" s="413">
        <f t="shared" si="123"/>
        <v>5.4591416089509702E-2</v>
      </c>
      <c r="F229" s="153">
        <f t="shared" si="104"/>
        <v>8.5843055595628187E-2</v>
      </c>
      <c r="G229" s="154">
        <f t="shared" si="124"/>
        <v>2.3436044144334967E-2</v>
      </c>
      <c r="H229" s="155">
        <f t="shared" si="124"/>
        <v>1.6656175139146865E-3</v>
      </c>
      <c r="I229" s="156">
        <f t="shared" si="124"/>
        <v>6.0741393937378527E-2</v>
      </c>
      <c r="J229" s="153">
        <f t="shared" si="100"/>
        <v>0.1420271062178623</v>
      </c>
      <c r="K229" s="154">
        <f t="shared" si="126"/>
        <v>7.7863596603092736E-2</v>
      </c>
      <c r="L229" s="155">
        <f t="shared" si="126"/>
        <v>4.1700894338218157E-2</v>
      </c>
      <c r="M229" s="155">
        <f t="shared" si="126"/>
        <v>2.2462615276551415E-2</v>
      </c>
      <c r="N229" s="151">
        <f t="shared" si="126"/>
        <v>0</v>
      </c>
      <c r="O229" s="421">
        <f t="shared" si="126"/>
        <v>0</v>
      </c>
      <c r="P229" s="153">
        <f t="shared" si="126"/>
        <v>9.7538422096999824E-2</v>
      </c>
      <c r="Q229" s="324"/>
      <c r="R229" s="325"/>
    </row>
    <row r="230" spans="2:18" s="3" customFormat="1">
      <c r="B230" s="149" t="s">
        <v>189</v>
      </c>
      <c r="C230" s="203" t="s">
        <v>394</v>
      </c>
      <c r="D230" s="337">
        <f>SUM(D231:D235)</f>
        <v>12.19</v>
      </c>
      <c r="E230" s="413">
        <f>SUM(E231:E235)</f>
        <v>1.7512351635029559</v>
      </c>
      <c r="F230" s="153">
        <f t="shared" si="104"/>
        <v>2.7537548623965984</v>
      </c>
      <c r="G230" s="154">
        <f>SUM(G231:G235)</f>
        <v>0.7518036266301138</v>
      </c>
      <c r="H230" s="155">
        <f>SUM(H231:H235)</f>
        <v>5.3431256564789545E-2</v>
      </c>
      <c r="I230" s="156">
        <f>SUM(I231:I235)</f>
        <v>1.9485199792016952</v>
      </c>
      <c r="J230" s="153">
        <f t="shared" si="100"/>
        <v>4.5560800652519511</v>
      </c>
      <c r="K230" s="154">
        <f t="shared" ref="K230:P230" si="127">SUM(K231:K235)</f>
        <v>2.4977822173465798</v>
      </c>
      <c r="L230" s="155">
        <f t="shared" si="127"/>
        <v>1.3377207946917877</v>
      </c>
      <c r="M230" s="155">
        <f t="shared" si="127"/>
        <v>0.72057705321358356</v>
      </c>
      <c r="N230" s="151">
        <f t="shared" si="127"/>
        <v>0</v>
      </c>
      <c r="O230" s="152">
        <f t="shared" si="127"/>
        <v>0</v>
      </c>
      <c r="P230" s="153">
        <f t="shared" si="127"/>
        <v>3.1289299088484936</v>
      </c>
      <c r="Q230" s="324"/>
      <c r="R230" s="325"/>
    </row>
    <row r="231" spans="2:18">
      <c r="B231" s="166" t="s">
        <v>535</v>
      </c>
      <c r="C231" s="356" t="s">
        <v>396</v>
      </c>
      <c r="D231" s="334">
        <v>0</v>
      </c>
      <c r="E231" s="414">
        <f>IFERROR($D231*E$237/100, 0)</f>
        <v>0</v>
      </c>
      <c r="F231" s="205">
        <f t="shared" si="104"/>
        <v>0</v>
      </c>
      <c r="G231" s="209">
        <f t="shared" ref="G231:I235" si="128">IFERROR($D231*G$237/100, 0)</f>
        <v>0</v>
      </c>
      <c r="H231" s="210">
        <f t="shared" si="128"/>
        <v>0</v>
      </c>
      <c r="I231" s="211">
        <f t="shared" si="128"/>
        <v>0</v>
      </c>
      <c r="J231" s="205">
        <f t="shared" si="100"/>
        <v>0</v>
      </c>
      <c r="K231" s="209">
        <f t="shared" ref="K231:P235" si="129">IFERROR($D231*K$237/100, 0)</f>
        <v>0</v>
      </c>
      <c r="L231" s="210">
        <f t="shared" si="129"/>
        <v>0</v>
      </c>
      <c r="M231" s="210">
        <f t="shared" si="129"/>
        <v>0</v>
      </c>
      <c r="N231" s="207">
        <f t="shared" si="129"/>
        <v>0</v>
      </c>
      <c r="O231" s="208">
        <f t="shared" si="129"/>
        <v>0</v>
      </c>
      <c r="P231" s="205">
        <f t="shared" si="129"/>
        <v>0</v>
      </c>
      <c r="Q231" s="335"/>
      <c r="R231" s="336"/>
    </row>
    <row r="232" spans="2:18">
      <c r="B232" s="166" t="s">
        <v>536</v>
      </c>
      <c r="C232" s="356" t="s">
        <v>450</v>
      </c>
      <c r="D232" s="334">
        <v>0</v>
      </c>
      <c r="E232" s="414">
        <f>IFERROR($D232*E$237/100, 0)</f>
        <v>0</v>
      </c>
      <c r="F232" s="205">
        <f t="shared" si="104"/>
        <v>0</v>
      </c>
      <c r="G232" s="209">
        <f t="shared" si="128"/>
        <v>0</v>
      </c>
      <c r="H232" s="210">
        <f t="shared" si="128"/>
        <v>0</v>
      </c>
      <c r="I232" s="211">
        <f t="shared" si="128"/>
        <v>0</v>
      </c>
      <c r="J232" s="205">
        <f t="shared" si="100"/>
        <v>0</v>
      </c>
      <c r="K232" s="209">
        <f t="shared" si="129"/>
        <v>0</v>
      </c>
      <c r="L232" s="210">
        <f t="shared" si="129"/>
        <v>0</v>
      </c>
      <c r="M232" s="210">
        <f t="shared" si="129"/>
        <v>0</v>
      </c>
      <c r="N232" s="207">
        <f t="shared" si="129"/>
        <v>0</v>
      </c>
      <c r="O232" s="208">
        <f t="shared" si="129"/>
        <v>0</v>
      </c>
      <c r="P232" s="205">
        <f t="shared" si="129"/>
        <v>0</v>
      </c>
      <c r="Q232" s="335"/>
      <c r="R232" s="336"/>
    </row>
    <row r="233" spans="2:18">
      <c r="B233" s="258" t="s">
        <v>537</v>
      </c>
      <c r="C233" s="259" t="s">
        <v>400</v>
      </c>
      <c r="D233" s="334">
        <v>0</v>
      </c>
      <c r="E233" s="414">
        <f>IFERROR($D233*E$237/100, 0)</f>
        <v>0</v>
      </c>
      <c r="F233" s="205">
        <f t="shared" si="104"/>
        <v>0</v>
      </c>
      <c r="G233" s="209">
        <f t="shared" si="128"/>
        <v>0</v>
      </c>
      <c r="H233" s="210">
        <f t="shared" si="128"/>
        <v>0</v>
      </c>
      <c r="I233" s="211">
        <f t="shared" si="128"/>
        <v>0</v>
      </c>
      <c r="J233" s="205">
        <f t="shared" si="100"/>
        <v>0</v>
      </c>
      <c r="K233" s="209">
        <f t="shared" si="129"/>
        <v>0</v>
      </c>
      <c r="L233" s="210">
        <f t="shared" si="129"/>
        <v>0</v>
      </c>
      <c r="M233" s="210">
        <f t="shared" si="129"/>
        <v>0</v>
      </c>
      <c r="N233" s="207">
        <f t="shared" si="129"/>
        <v>0</v>
      </c>
      <c r="O233" s="208">
        <f t="shared" si="129"/>
        <v>0</v>
      </c>
      <c r="P233" s="205">
        <f t="shared" si="129"/>
        <v>0</v>
      </c>
      <c r="Q233" s="335"/>
      <c r="R233" s="336"/>
    </row>
    <row r="234" spans="2:18">
      <c r="B234" s="258" t="s">
        <v>538</v>
      </c>
      <c r="C234" s="249" t="s">
        <v>402</v>
      </c>
      <c r="D234" s="341">
        <v>12.19</v>
      </c>
      <c r="E234" s="422">
        <f>IFERROR($D234*E$237/100, 0)</f>
        <v>1.7512351635029559</v>
      </c>
      <c r="F234" s="215">
        <f t="shared" si="104"/>
        <v>2.7537548623965984</v>
      </c>
      <c r="G234" s="216">
        <f t="shared" si="128"/>
        <v>0.7518036266301138</v>
      </c>
      <c r="H234" s="217">
        <f t="shared" si="128"/>
        <v>5.3431256564789545E-2</v>
      </c>
      <c r="I234" s="218">
        <f t="shared" si="128"/>
        <v>1.9485199792016952</v>
      </c>
      <c r="J234" s="215">
        <f t="shared" si="100"/>
        <v>4.5560800652519511</v>
      </c>
      <c r="K234" s="216">
        <f t="shared" si="129"/>
        <v>2.4977822173465798</v>
      </c>
      <c r="L234" s="217">
        <f t="shared" si="129"/>
        <v>1.3377207946917877</v>
      </c>
      <c r="M234" s="217">
        <f t="shared" si="129"/>
        <v>0.72057705321358356</v>
      </c>
      <c r="N234" s="213">
        <f t="shared" si="129"/>
        <v>0</v>
      </c>
      <c r="O234" s="214">
        <f t="shared" si="129"/>
        <v>0</v>
      </c>
      <c r="P234" s="215">
        <f t="shared" si="129"/>
        <v>3.1289299088484936</v>
      </c>
      <c r="Q234" s="335"/>
      <c r="R234" s="336"/>
    </row>
    <row r="235" spans="2:18" ht="15.75" thickBot="1">
      <c r="B235" s="258" t="s">
        <v>539</v>
      </c>
      <c r="C235" s="249" t="s">
        <v>394</v>
      </c>
      <c r="D235" s="341">
        <v>0</v>
      </c>
      <c r="E235" s="422">
        <f>IFERROR($D235*E$237/100, 0)</f>
        <v>0</v>
      </c>
      <c r="F235" s="215">
        <f t="shared" si="104"/>
        <v>0</v>
      </c>
      <c r="G235" s="216">
        <f t="shared" si="128"/>
        <v>0</v>
      </c>
      <c r="H235" s="217">
        <f t="shared" si="128"/>
        <v>0</v>
      </c>
      <c r="I235" s="218">
        <f t="shared" si="128"/>
        <v>0</v>
      </c>
      <c r="J235" s="215">
        <f t="shared" si="100"/>
        <v>0</v>
      </c>
      <c r="K235" s="216">
        <f t="shared" si="129"/>
        <v>0</v>
      </c>
      <c r="L235" s="217">
        <f t="shared" si="129"/>
        <v>0</v>
      </c>
      <c r="M235" s="217">
        <f t="shared" si="129"/>
        <v>0</v>
      </c>
      <c r="N235" s="213">
        <f t="shared" si="129"/>
        <v>0</v>
      </c>
      <c r="O235" s="214">
        <f t="shared" si="129"/>
        <v>0</v>
      </c>
      <c r="P235" s="215">
        <f t="shared" si="129"/>
        <v>0</v>
      </c>
      <c r="Q235" s="335"/>
      <c r="R235" s="336"/>
    </row>
    <row r="236" spans="2:18" ht="116.25" customHeight="1" thickBot="1">
      <c r="B236" s="123" t="s">
        <v>79</v>
      </c>
      <c r="C236" s="124" t="s">
        <v>540</v>
      </c>
      <c r="D236" s="124" t="s">
        <v>457</v>
      </c>
      <c r="E236" s="125" t="s">
        <v>256</v>
      </c>
      <c r="F236" s="126" t="s">
        <v>257</v>
      </c>
      <c r="G236" s="127" t="s">
        <v>258</v>
      </c>
      <c r="H236" s="128" t="s">
        <v>259</v>
      </c>
      <c r="I236" s="129" t="s">
        <v>260</v>
      </c>
      <c r="J236" s="130" t="s">
        <v>261</v>
      </c>
      <c r="K236" s="127" t="s">
        <v>262</v>
      </c>
      <c r="L236" s="128" t="s">
        <v>263</v>
      </c>
      <c r="M236" s="129" t="s">
        <v>264</v>
      </c>
      <c r="N236" s="132" t="s">
        <v>265</v>
      </c>
      <c r="O236" s="125" t="s">
        <v>458</v>
      </c>
      <c r="P236" s="126" t="s">
        <v>459</v>
      </c>
      <c r="Q236" s="335"/>
      <c r="R236" s="336"/>
    </row>
    <row r="237" spans="2:18" ht="38.25" customHeight="1">
      <c r="B237" s="159" t="s">
        <v>212</v>
      </c>
      <c r="C237" s="356" t="s">
        <v>541</v>
      </c>
      <c r="D237" s="143">
        <f>ROUND((E237+F237+J237+N237+O237+P237),1)</f>
        <v>100</v>
      </c>
      <c r="E237" s="144">
        <f>IFERROR((E25+E26)/($D$25+$D$26)*100, 0)</f>
        <v>14.366162128818344</v>
      </c>
      <c r="F237" s="145">
        <f>SUM(G237:I237)</f>
        <v>22.590277788323206</v>
      </c>
      <c r="G237" s="146">
        <f>IFERROR((G25+G26)/($D$25+$D$26)*100, 0)</f>
        <v>6.1673800379828867</v>
      </c>
      <c r="H237" s="147">
        <f>IFERROR((H25+H26)/($D$25+$D$26)*100, 0)</f>
        <v>0.43832039839860171</v>
      </c>
      <c r="I237" s="148">
        <f>IFERROR((I25+I26)/($D$25+$D$26)*100, 0)</f>
        <v>15.984577351941716</v>
      </c>
      <c r="J237" s="145">
        <f>SUM(K237:M237)</f>
        <v>37.375554267858497</v>
      </c>
      <c r="K237" s="146">
        <f t="shared" ref="K237:P237" si="130">IFERROR((K25+K26)/($D$25+$D$26)*100, 0)</f>
        <v>20.490420158708613</v>
      </c>
      <c r="L237" s="147">
        <f t="shared" si="130"/>
        <v>10.973919562688989</v>
      </c>
      <c r="M237" s="147">
        <f t="shared" si="130"/>
        <v>5.9112145464608989</v>
      </c>
      <c r="N237" s="143">
        <f t="shared" si="130"/>
        <v>0</v>
      </c>
      <c r="O237" s="144">
        <f t="shared" si="130"/>
        <v>0</v>
      </c>
      <c r="P237" s="145">
        <f t="shared" si="130"/>
        <v>25.668005814999951</v>
      </c>
      <c r="Q237" s="335"/>
      <c r="R237" s="336"/>
    </row>
    <row r="238" spans="2:18" ht="33.75" customHeight="1" thickBot="1">
      <c r="B238" s="283" t="s">
        <v>214</v>
      </c>
      <c r="C238" s="423" t="s">
        <v>542</v>
      </c>
      <c r="D238" s="424">
        <f>ROUND((E238+F238+J238+N238+O238+P238),1)</f>
        <v>100</v>
      </c>
      <c r="E238" s="425">
        <f>VAS075_F_Verslovienetui22ApskaitosVeikla</f>
        <v>2.596637847629379</v>
      </c>
      <c r="F238" s="426">
        <f>SUM(G238:I238)</f>
        <v>72.027794297178119</v>
      </c>
      <c r="G238" s="427">
        <f>VAS075_F_Verslovienetui231GeriamojoVandens</f>
        <v>52.599661442897705</v>
      </c>
      <c r="H238" s="428">
        <f>VAS075_F_Verslovienetui232GeriamojoVandens</f>
        <v>12.718268356573766</v>
      </c>
      <c r="I238" s="429">
        <f>VAS075_F_Verslovienetui233GeriamojoVandens</f>
        <v>6.7098644977066444</v>
      </c>
      <c r="J238" s="426">
        <f>SUM(K238:M238)</f>
        <v>24.403670810238101</v>
      </c>
      <c r="K238" s="427">
        <f>VAS075_F_Verslovienetui241NuotekuSurinkimas</f>
        <v>3.3865821213620437</v>
      </c>
      <c r="L238" s="428">
        <f>VAS075_F_Verslovienetui242NuotekuValymas</f>
        <v>21.017088688876058</v>
      </c>
      <c r="M238" s="428">
        <f>VAS075_F_Verslovienetui243NuotekuDumblo</f>
        <v>0</v>
      </c>
      <c r="N238" s="424">
        <f>VAS075_F_Verslovienetui25PavirsiniuNuoteku</f>
        <v>0</v>
      </c>
      <c r="O238" s="425">
        <f>VAS075_F_Verslovienetui26KitosReguliuojamosios</f>
        <v>0</v>
      </c>
      <c r="P238" s="426">
        <f>VAS075_F_Verslovienetui27KitosVeiklos</f>
        <v>0.97189704495443208</v>
      </c>
      <c r="Q238" s="335"/>
      <c r="R238" s="336"/>
    </row>
    <row r="239" spans="2:18">
      <c r="Q239" s="335"/>
      <c r="R239" s="336"/>
    </row>
    <row r="240" spans="2:18">
      <c r="C240" s="430" t="s">
        <v>543</v>
      </c>
    </row>
    <row r="241" spans="3:3">
      <c r="C241" s="431" t="s">
        <v>544</v>
      </c>
    </row>
  </sheetData>
  <sheetProtection password="F757" sheet="1" objects="1" scenarios="1"/>
  <mergeCells count="5">
    <mergeCell ref="B8:P8"/>
    <mergeCell ref="A1:Q1"/>
    <mergeCell ref="A2:Q2"/>
    <mergeCell ref="A3:Q3"/>
    <mergeCell ref="A5:Q5"/>
  </mergeCells>
  <pageMargins left="0.70866141732283472" right="0.70866141732283472" top="0.74803149606299213" bottom="0.74803149606299213" header="0.31496062992125984" footer="0.31496062992125984"/>
  <pageSetup paperSize="8" scale="65" fitToHeight="0" orientation="landscape" r:id="rId1"/>
</worksheet>
</file>

<file path=xl/worksheets/sheet5.xml><?xml version="1.0" encoding="utf-8"?>
<worksheet xmlns="http://schemas.openxmlformats.org/spreadsheetml/2006/main" xmlns:r="http://schemas.openxmlformats.org/officeDocument/2006/relationships">
  <dimension ref="A1:E56"/>
  <sheetViews>
    <sheetView topLeftCell="A40" zoomScale="93" zoomScaleNormal="93" workbookViewId="0">
      <selection sqref="A1:E1"/>
    </sheetView>
  </sheetViews>
  <sheetFormatPr defaultColWidth="9.140625" defaultRowHeight="15"/>
  <cols>
    <col min="1" max="2" width="9.140625" style="432"/>
    <col min="3" max="3" width="51.5703125" style="432" customWidth="1"/>
    <col min="4" max="4" width="22.5703125" style="433" customWidth="1"/>
    <col min="5" max="5" width="22.7109375" style="432" customWidth="1"/>
    <col min="6" max="6" width="35.85546875" style="432" customWidth="1"/>
    <col min="7" max="16384" width="9.140625" style="432"/>
  </cols>
  <sheetData>
    <row r="1" spans="1:5">
      <c r="A1" s="1310" t="s">
        <v>0</v>
      </c>
      <c r="B1" s="1311"/>
      <c r="C1" s="1311"/>
      <c r="D1" s="1311"/>
      <c r="E1" s="1312"/>
    </row>
    <row r="2" spans="1:5">
      <c r="A2" s="1310" t="s">
        <v>1</v>
      </c>
      <c r="B2" s="1311"/>
      <c r="C2" s="1311"/>
      <c r="D2" s="1311"/>
      <c r="E2" s="1312"/>
    </row>
    <row r="3" spans="1:5">
      <c r="A3" s="1313"/>
      <c r="B3" s="1314"/>
      <c r="C3" s="1314"/>
      <c r="D3" s="1314"/>
      <c r="E3" s="1315"/>
    </row>
    <row r="4" spans="1:5">
      <c r="A4" s="434"/>
      <c r="B4" s="434"/>
      <c r="C4" s="434"/>
      <c r="D4" s="435"/>
      <c r="E4" s="434"/>
    </row>
    <row r="5" spans="1:5">
      <c r="A5" s="1316" t="s">
        <v>545</v>
      </c>
      <c r="B5" s="1317"/>
      <c r="C5" s="1317"/>
      <c r="D5" s="1317"/>
      <c r="E5" s="1318"/>
    </row>
    <row r="6" spans="1:5">
      <c r="A6" s="1307" t="s">
        <v>546</v>
      </c>
      <c r="B6" s="1308"/>
      <c r="C6" s="1308"/>
      <c r="D6" s="1309"/>
      <c r="E6" s="1308"/>
    </row>
    <row r="7" spans="1:5">
      <c r="A7" s="1308"/>
      <c r="B7" s="1308"/>
      <c r="C7" s="1308"/>
      <c r="D7" s="1309"/>
      <c r="E7" s="1308"/>
    </row>
    <row r="8" spans="1:5">
      <c r="A8" s="434"/>
      <c r="B8" s="434"/>
      <c r="C8" s="434"/>
      <c r="D8" s="435"/>
      <c r="E8" s="434"/>
    </row>
    <row r="9" spans="1:5" ht="35.25" customHeight="1" thickBot="1">
      <c r="B9" s="1306" t="s">
        <v>547</v>
      </c>
      <c r="C9" s="1306"/>
      <c r="D9" s="1306"/>
      <c r="E9" s="1306"/>
    </row>
    <row r="10" spans="1:5" ht="24.75" customHeight="1" thickBot="1">
      <c r="B10" s="436" t="s">
        <v>4</v>
      </c>
      <c r="C10" s="437" t="s">
        <v>92</v>
      </c>
      <c r="D10" s="438" t="s">
        <v>49</v>
      </c>
      <c r="E10" s="439" t="s">
        <v>93</v>
      </c>
    </row>
    <row r="11" spans="1:5" ht="41.25" customHeight="1" thickTop="1" thickBot="1">
      <c r="B11" s="440" t="s">
        <v>548</v>
      </c>
      <c r="C11" s="441" t="s">
        <v>549</v>
      </c>
      <c r="D11" s="442">
        <f>VAS071_F_Ilgalaikisturt1AtaskaitinisLaikotarpis</f>
        <v>24961.599999999999</v>
      </c>
      <c r="E11" s="443" t="s">
        <v>550</v>
      </c>
    </row>
    <row r="12" spans="1:5" ht="46.5" customHeight="1" thickTop="1" thickBot="1">
      <c r="B12" s="440" t="s">
        <v>51</v>
      </c>
      <c r="C12" s="441" t="s">
        <v>551</v>
      </c>
      <c r="D12" s="442">
        <f>SUM(D13:D14)+D18+D19</f>
        <v>4417.3702532770249</v>
      </c>
      <c r="E12" s="443" t="s">
        <v>552</v>
      </c>
    </row>
    <row r="13" spans="1:5" ht="41.25" customHeight="1" thickTop="1">
      <c r="B13" s="444" t="s">
        <v>96</v>
      </c>
      <c r="C13" s="445" t="s">
        <v>553</v>
      </c>
      <c r="D13" s="446">
        <f>VAS076_F_Paskirstomasil23IsViso</f>
        <v>2633.2667178909383</v>
      </c>
      <c r="E13" s="447" t="s">
        <v>552</v>
      </c>
    </row>
    <row r="14" spans="1:5" ht="40.5" customHeight="1">
      <c r="B14" s="448" t="s">
        <v>102</v>
      </c>
      <c r="C14" s="449" t="s">
        <v>554</v>
      </c>
      <c r="D14" s="450">
        <f>VAS076_F_Paskirstomasil24IsViso</f>
        <v>1751.626233233038</v>
      </c>
      <c r="E14" s="451" t="s">
        <v>552</v>
      </c>
    </row>
    <row r="15" spans="1:5" ht="40.5" customHeight="1">
      <c r="B15" s="448" t="s">
        <v>104</v>
      </c>
      <c r="C15" s="449" t="s">
        <v>555</v>
      </c>
      <c r="D15" s="450">
        <f>VAS076_F_Paskirstomasil241NuotekuSurinkimas</f>
        <v>1470.1123894478421</v>
      </c>
      <c r="E15" s="451" t="s">
        <v>552</v>
      </c>
    </row>
    <row r="16" spans="1:5" ht="36.75" customHeight="1">
      <c r="B16" s="448" t="s">
        <v>110</v>
      </c>
      <c r="C16" s="449" t="s">
        <v>556</v>
      </c>
      <c r="D16" s="450">
        <f>VAS076_F_Paskirstomasil242NuotekuValymas</f>
        <v>268.74586278519592</v>
      </c>
      <c r="E16" s="451" t="s">
        <v>552</v>
      </c>
    </row>
    <row r="17" spans="2:5" ht="34.5" customHeight="1">
      <c r="B17" s="448" t="s">
        <v>117</v>
      </c>
      <c r="C17" s="449" t="s">
        <v>557</v>
      </c>
      <c r="D17" s="450">
        <f>VAS076_F_Paskirstomasil243NuotekuDumblo</f>
        <v>12.767980999999999</v>
      </c>
      <c r="E17" s="451" t="s">
        <v>552</v>
      </c>
    </row>
    <row r="18" spans="2:5" ht="31.5" customHeight="1">
      <c r="B18" s="452" t="s">
        <v>124</v>
      </c>
      <c r="C18" s="449" t="s">
        <v>558</v>
      </c>
      <c r="D18" s="450">
        <f>VAS076_F_Paskirstomasil25PavirsiniuNuoteku</f>
        <v>0</v>
      </c>
      <c r="E18" s="451" t="s">
        <v>552</v>
      </c>
    </row>
    <row r="19" spans="2:5" ht="39.75" customHeight="1" thickBot="1">
      <c r="B19" s="452" t="s">
        <v>131</v>
      </c>
      <c r="C19" s="453" t="s">
        <v>559</v>
      </c>
      <c r="D19" s="454">
        <f>VAS076_F_Paskirstomasil22ApskaitosVeikla</f>
        <v>32.477302153047987</v>
      </c>
      <c r="E19" s="455" t="s">
        <v>552</v>
      </c>
    </row>
    <row r="20" spans="2:5" ht="24">
      <c r="B20" s="456" t="s">
        <v>53</v>
      </c>
      <c r="C20" s="457" t="s">
        <v>560</v>
      </c>
      <c r="D20" s="458">
        <f>SUM(D21:D30)</f>
        <v>20281.149999999998</v>
      </c>
      <c r="E20" s="459"/>
    </row>
    <row r="21" spans="2:5">
      <c r="B21" s="448" t="s">
        <v>55</v>
      </c>
      <c r="C21" s="460" t="s">
        <v>561</v>
      </c>
      <c r="D21" s="461">
        <v>20579.45</v>
      </c>
      <c r="E21" s="451"/>
    </row>
    <row r="22" spans="2:5" ht="24">
      <c r="B22" s="448" t="s">
        <v>141</v>
      </c>
      <c r="C22" s="460" t="s">
        <v>562</v>
      </c>
      <c r="D22" s="461">
        <v>0</v>
      </c>
      <c r="E22" s="451"/>
    </row>
    <row r="23" spans="2:5">
      <c r="B23" s="448" t="s">
        <v>302</v>
      </c>
      <c r="C23" s="460" t="s">
        <v>563</v>
      </c>
      <c r="D23" s="461">
        <v>0</v>
      </c>
      <c r="E23" s="451"/>
    </row>
    <row r="24" spans="2:5">
      <c r="B24" s="448" t="s">
        <v>307</v>
      </c>
      <c r="C24" s="460" t="s">
        <v>564</v>
      </c>
      <c r="D24" s="461">
        <v>0</v>
      </c>
      <c r="E24" s="451"/>
    </row>
    <row r="25" spans="2:5">
      <c r="B25" s="448" t="s">
        <v>312</v>
      </c>
      <c r="C25" s="460" t="s">
        <v>565</v>
      </c>
      <c r="D25" s="461">
        <v>0</v>
      </c>
      <c r="E25" s="451"/>
    </row>
    <row r="26" spans="2:5">
      <c r="B26" s="448" t="s">
        <v>318</v>
      </c>
      <c r="C26" s="460" t="s">
        <v>566</v>
      </c>
      <c r="D26" s="461">
        <v>0</v>
      </c>
      <c r="E26" s="451"/>
    </row>
    <row r="27" spans="2:5" ht="24">
      <c r="B27" s="448" t="s">
        <v>322</v>
      </c>
      <c r="C27" s="460" t="s">
        <v>567</v>
      </c>
      <c r="D27" s="461"/>
      <c r="E27" s="451"/>
    </row>
    <row r="28" spans="2:5">
      <c r="B28" s="448" t="s">
        <v>331</v>
      </c>
      <c r="C28" s="460" t="s">
        <v>568</v>
      </c>
      <c r="D28" s="461">
        <v>1347.77</v>
      </c>
      <c r="E28" s="451"/>
    </row>
    <row r="29" spans="2:5" ht="24">
      <c r="B29" s="452" t="s">
        <v>333</v>
      </c>
      <c r="C29" s="462" t="s">
        <v>569</v>
      </c>
      <c r="D29" s="463">
        <v>0</v>
      </c>
      <c r="E29" s="455"/>
    </row>
    <row r="30" spans="2:5" ht="24.75" thickBot="1">
      <c r="B30" s="464" t="s">
        <v>343</v>
      </c>
      <c r="C30" s="465" t="s">
        <v>570</v>
      </c>
      <c r="D30" s="466">
        <f>D11-D12-D31-D21-D22-D23-D24-D25-D26-D27-D28-D29</f>
        <v>-1646.0700000000029</v>
      </c>
      <c r="E30" s="467"/>
    </row>
    <row r="31" spans="2:5">
      <c r="B31" s="468" t="s">
        <v>59</v>
      </c>
      <c r="C31" s="469" t="s">
        <v>571</v>
      </c>
      <c r="D31" s="470">
        <f>SUM(D32:D33)</f>
        <v>263.07974672297541</v>
      </c>
      <c r="E31" s="451" t="s">
        <v>552</v>
      </c>
    </row>
    <row r="32" spans="2:5">
      <c r="B32" s="448" t="s">
        <v>150</v>
      </c>
      <c r="C32" s="449" t="s">
        <v>572</v>
      </c>
      <c r="D32" s="450">
        <f>VAS076_F_Paskirstomasil26KitosReguliuojamosios</f>
        <v>0</v>
      </c>
      <c r="E32" s="451" t="s">
        <v>552</v>
      </c>
    </row>
    <row r="33" spans="2:5" ht="15.75" thickBot="1">
      <c r="B33" s="452" t="s">
        <v>152</v>
      </c>
      <c r="C33" s="453" t="s">
        <v>573</v>
      </c>
      <c r="D33" s="454">
        <f>VAS076_F_Paskirstomasil27KitosVeiklos</f>
        <v>263.07974672297541</v>
      </c>
      <c r="E33" s="455" t="s">
        <v>552</v>
      </c>
    </row>
    <row r="34" spans="2:5" ht="25.5" thickTop="1" thickBot="1">
      <c r="B34" s="440" t="s">
        <v>574</v>
      </c>
      <c r="C34" s="441" t="s">
        <v>575</v>
      </c>
      <c r="D34" s="471">
        <v>32749.66</v>
      </c>
      <c r="E34" s="443"/>
    </row>
    <row r="35" spans="2:5" ht="37.5" thickTop="1" thickBot="1">
      <c r="B35" s="440" t="s">
        <v>63</v>
      </c>
      <c r="C35" s="441" t="s">
        <v>576</v>
      </c>
      <c r="D35" s="442">
        <f>SUM(D36:D37)+D41+D42</f>
        <v>6367.5206004393885</v>
      </c>
      <c r="E35" s="443" t="s">
        <v>577</v>
      </c>
    </row>
    <row r="36" spans="2:5" ht="24.75" thickTop="1">
      <c r="B36" s="444" t="s">
        <v>65</v>
      </c>
      <c r="C36" s="445" t="s">
        <v>578</v>
      </c>
      <c r="D36" s="446">
        <f>VAS075_F_Paskirstomasil13IsViso</f>
        <v>3662.8181228263875</v>
      </c>
      <c r="E36" s="447" t="s">
        <v>577</v>
      </c>
    </row>
    <row r="37" spans="2:5" ht="24">
      <c r="B37" s="448" t="s">
        <v>69</v>
      </c>
      <c r="C37" s="449" t="s">
        <v>579</v>
      </c>
      <c r="D37" s="450">
        <f>VAS075_F_Paskirstomasil14IsViso</f>
        <v>2649.7769835691147</v>
      </c>
      <c r="E37" s="451" t="s">
        <v>577</v>
      </c>
    </row>
    <row r="38" spans="2:5" ht="24">
      <c r="B38" s="448" t="s">
        <v>580</v>
      </c>
      <c r="C38" s="449" t="s">
        <v>581</v>
      </c>
      <c r="D38" s="450">
        <f>VAS075_F_Paskirstomasil141NuotekuSurinkimas</f>
        <v>2239.6739727683794</v>
      </c>
      <c r="E38" s="451" t="s">
        <v>577</v>
      </c>
    </row>
    <row r="39" spans="2:5" ht="24">
      <c r="B39" s="448" t="s">
        <v>582</v>
      </c>
      <c r="C39" s="449" t="s">
        <v>583</v>
      </c>
      <c r="D39" s="450">
        <f>VAS075_F_Paskirstomasil142NuotekuValymas</f>
        <v>381.93322080073574</v>
      </c>
      <c r="E39" s="451" t="s">
        <v>577</v>
      </c>
    </row>
    <row r="40" spans="2:5" ht="24">
      <c r="B40" s="448" t="s">
        <v>584</v>
      </c>
      <c r="C40" s="449" t="s">
        <v>585</v>
      </c>
      <c r="D40" s="450">
        <f>VAS075_F_Paskirstomasil143NuotekuDumblo</f>
        <v>28.169789999999999</v>
      </c>
      <c r="E40" s="451" t="s">
        <v>577</v>
      </c>
    </row>
    <row r="41" spans="2:5" ht="24">
      <c r="B41" s="452" t="s">
        <v>71</v>
      </c>
      <c r="C41" s="449" t="s">
        <v>586</v>
      </c>
      <c r="D41" s="450">
        <f>VAS075_F_Paskirstomasil15PavirsiniuNuoteku</f>
        <v>0</v>
      </c>
      <c r="E41" s="451" t="s">
        <v>577</v>
      </c>
    </row>
    <row r="42" spans="2:5" ht="24.75" thickBot="1">
      <c r="B42" s="452" t="s">
        <v>73</v>
      </c>
      <c r="C42" s="453" t="s">
        <v>587</v>
      </c>
      <c r="D42" s="454">
        <f>VAS075_F_Paskirstomasil12ApskaitosVeikla</f>
        <v>54.925494043887149</v>
      </c>
      <c r="E42" s="455" t="s">
        <v>577</v>
      </c>
    </row>
    <row r="43" spans="2:5" ht="24">
      <c r="B43" s="456" t="s">
        <v>77</v>
      </c>
      <c r="C43" s="457" t="s">
        <v>588</v>
      </c>
      <c r="D43" s="458">
        <f>SUM(D44:D53)</f>
        <v>25942.74</v>
      </c>
      <c r="E43" s="459"/>
    </row>
    <row r="44" spans="2:5">
      <c r="B44" s="448" t="s">
        <v>497</v>
      </c>
      <c r="C44" s="460" t="s">
        <v>561</v>
      </c>
      <c r="D44" s="461">
        <v>25296.05</v>
      </c>
      <c r="E44" s="451"/>
    </row>
    <row r="45" spans="2:5" ht="24">
      <c r="B45" s="448" t="s">
        <v>171</v>
      </c>
      <c r="C45" s="460" t="s">
        <v>562</v>
      </c>
      <c r="D45" s="461">
        <v>0</v>
      </c>
      <c r="E45" s="451"/>
    </row>
    <row r="46" spans="2:5">
      <c r="B46" s="448" t="s">
        <v>173</v>
      </c>
      <c r="C46" s="460" t="s">
        <v>563</v>
      </c>
      <c r="D46" s="461">
        <v>0</v>
      </c>
      <c r="E46" s="451"/>
    </row>
    <row r="47" spans="2:5">
      <c r="B47" s="448" t="s">
        <v>175</v>
      </c>
      <c r="C47" s="460" t="s">
        <v>564</v>
      </c>
      <c r="D47" s="461">
        <v>0</v>
      </c>
      <c r="E47" s="451"/>
    </row>
    <row r="48" spans="2:5">
      <c r="B48" s="448" t="s">
        <v>177</v>
      </c>
      <c r="C48" s="460" t="s">
        <v>565</v>
      </c>
      <c r="D48" s="461">
        <v>0</v>
      </c>
      <c r="E48" s="451"/>
    </row>
    <row r="49" spans="2:5">
      <c r="B49" s="448" t="s">
        <v>179</v>
      </c>
      <c r="C49" s="460" t="s">
        <v>566</v>
      </c>
      <c r="D49" s="461">
        <v>0</v>
      </c>
      <c r="E49" s="451"/>
    </row>
    <row r="50" spans="2:5" ht="24">
      <c r="B50" s="448" t="s">
        <v>181</v>
      </c>
      <c r="C50" s="460" t="s">
        <v>567</v>
      </c>
      <c r="D50" s="461"/>
      <c r="E50" s="451"/>
    </row>
    <row r="51" spans="2:5">
      <c r="B51" s="448" t="s">
        <v>183</v>
      </c>
      <c r="C51" s="460" t="s">
        <v>568</v>
      </c>
      <c r="D51" s="461">
        <v>2511.36</v>
      </c>
      <c r="E51" s="451"/>
    </row>
    <row r="52" spans="2:5" ht="24">
      <c r="B52" s="452" t="s">
        <v>185</v>
      </c>
      <c r="C52" s="462" t="s">
        <v>569</v>
      </c>
      <c r="D52" s="463">
        <v>0</v>
      </c>
      <c r="E52" s="455"/>
    </row>
    <row r="53" spans="2:5" ht="24.75" thickBot="1">
      <c r="B53" s="464" t="s">
        <v>187</v>
      </c>
      <c r="C53" s="465" t="s">
        <v>589</v>
      </c>
      <c r="D53" s="472">
        <f>D34-D35-D54-D44-D45-D46-D47-D48-D49-D50-D51-D52</f>
        <v>-1864.6699999999978</v>
      </c>
      <c r="E53" s="467"/>
    </row>
    <row r="54" spans="2:5">
      <c r="B54" s="468" t="s">
        <v>79</v>
      </c>
      <c r="C54" s="469" t="s">
        <v>590</v>
      </c>
      <c r="D54" s="470">
        <f>D55+D56</f>
        <v>439.39939956060988</v>
      </c>
      <c r="E54" s="451" t="s">
        <v>577</v>
      </c>
    </row>
    <row r="55" spans="2:5">
      <c r="B55" s="448" t="s">
        <v>212</v>
      </c>
      <c r="C55" s="449" t="s">
        <v>591</v>
      </c>
      <c r="D55" s="450">
        <f>VAS075_F_Paskirstomasil16KitosReguliuojamosios</f>
        <v>0</v>
      </c>
      <c r="E55" s="451" t="s">
        <v>577</v>
      </c>
    </row>
    <row r="56" spans="2:5" ht="15.75" thickBot="1">
      <c r="B56" s="473" t="s">
        <v>214</v>
      </c>
      <c r="C56" s="474" t="s">
        <v>592</v>
      </c>
      <c r="D56" s="475">
        <f>VAS075_F_Paskirstomasil17KitosVeiklos</f>
        <v>439.39939956060988</v>
      </c>
      <c r="E56" s="467" t="s">
        <v>577</v>
      </c>
    </row>
  </sheetData>
  <sheetProtection password="F757" sheet="1" objects="1" scenarios="1"/>
  <mergeCells count="7">
    <mergeCell ref="B9:E9"/>
    <mergeCell ref="A6:E6"/>
    <mergeCell ref="A7:E7"/>
    <mergeCell ref="A1:E1"/>
    <mergeCell ref="A2:E2"/>
    <mergeCell ref="A3:E3"/>
    <mergeCell ref="A5:E5"/>
  </mergeCells>
  <pageMargins left="0.70866141732283472" right="0.70866141732283472" top="0.35433070866141736" bottom="0.35433070866141736" header="0.31496062992125984" footer="0.31496062992125984"/>
  <pageSetup paperSize="8" scale="90" orientation="portrait" r:id="rId1"/>
</worksheet>
</file>

<file path=xl/worksheets/sheet6.xml><?xml version="1.0" encoding="utf-8"?>
<worksheet xmlns="http://schemas.openxmlformats.org/spreadsheetml/2006/main" xmlns:r="http://schemas.openxmlformats.org/officeDocument/2006/relationships">
  <dimension ref="A1:Q134"/>
  <sheetViews>
    <sheetView topLeftCell="B40" zoomScale="80" zoomScaleNormal="80" workbookViewId="0">
      <selection activeCell="A33" sqref="A33:P78"/>
    </sheetView>
  </sheetViews>
  <sheetFormatPr defaultRowHeight="15"/>
  <cols>
    <col min="1" max="2" width="9.140625" style="28"/>
    <col min="3" max="3" width="61.42578125" style="28" customWidth="1"/>
    <col min="4" max="4" width="11" style="28" customWidth="1"/>
    <col min="5" max="5" width="13.42578125" style="28" customWidth="1"/>
    <col min="6" max="6" width="11.42578125" style="28" customWidth="1"/>
    <col min="7" max="8" width="14.140625" style="28" customWidth="1"/>
    <col min="9" max="9" width="15.140625" style="28" customWidth="1"/>
    <col min="10" max="10" width="11" style="28" customWidth="1"/>
    <col min="11" max="11" width="11.5703125" style="28" customWidth="1"/>
    <col min="12" max="12" width="13.42578125" style="28" customWidth="1"/>
    <col min="13" max="13" width="12.140625" style="28" customWidth="1"/>
    <col min="14" max="14" width="21" style="28" customWidth="1"/>
    <col min="15" max="15" width="16.28515625" style="28" customWidth="1"/>
    <col min="16" max="16" width="23.28515625" style="28" customWidth="1"/>
    <col min="17" max="17" width="15.5703125" style="28" customWidth="1"/>
    <col min="18" max="16384" width="9.140625" style="28"/>
  </cols>
  <sheetData>
    <row r="1" spans="1:16">
      <c r="A1" s="1319" t="s">
        <v>0</v>
      </c>
      <c r="B1" s="1320"/>
      <c r="C1" s="1320"/>
      <c r="D1" s="1320"/>
      <c r="E1" s="1320"/>
      <c r="F1" s="1320"/>
      <c r="G1" s="1320"/>
      <c r="H1" s="1320"/>
      <c r="I1" s="1320"/>
      <c r="J1" s="1320"/>
      <c r="K1" s="1320"/>
      <c r="L1" s="1320"/>
      <c r="M1" s="1320"/>
      <c r="N1" s="1320"/>
      <c r="O1" s="1320"/>
      <c r="P1" s="1321"/>
    </row>
    <row r="2" spans="1:16">
      <c r="A2" s="1319" t="s">
        <v>1</v>
      </c>
      <c r="B2" s="1320"/>
      <c r="C2" s="1320"/>
      <c r="D2" s="1320"/>
      <c r="E2" s="1320"/>
      <c r="F2" s="1320"/>
      <c r="G2" s="1320"/>
      <c r="H2" s="1320"/>
      <c r="I2" s="1320"/>
      <c r="J2" s="1320"/>
      <c r="K2" s="1320"/>
      <c r="L2" s="1320"/>
      <c r="M2" s="1320"/>
      <c r="N2" s="1320"/>
      <c r="O2" s="1320"/>
      <c r="P2" s="1321"/>
    </row>
    <row r="3" spans="1:16">
      <c r="A3" s="1322"/>
      <c r="B3" s="1323"/>
      <c r="C3" s="1323"/>
      <c r="D3" s="1323"/>
      <c r="E3" s="1323"/>
      <c r="F3" s="1323"/>
      <c r="G3" s="1323"/>
      <c r="H3" s="1323"/>
      <c r="I3" s="1323"/>
      <c r="J3" s="1323"/>
      <c r="K3" s="1323"/>
      <c r="L3" s="1323"/>
      <c r="M3" s="1323"/>
      <c r="N3" s="1323"/>
      <c r="O3" s="1323"/>
      <c r="P3" s="1324"/>
    </row>
    <row r="4" spans="1:16">
      <c r="A4" s="476"/>
      <c r="B4" s="476"/>
      <c r="C4" s="476"/>
      <c r="D4" s="476"/>
      <c r="E4" s="476"/>
      <c r="F4" s="476"/>
      <c r="G4" s="476"/>
      <c r="H4" s="476"/>
      <c r="I4" s="476"/>
      <c r="J4" s="476"/>
      <c r="K4" s="476"/>
      <c r="L4" s="476"/>
      <c r="M4" s="476"/>
      <c r="N4" s="476"/>
      <c r="O4" s="476"/>
      <c r="P4" s="476"/>
    </row>
    <row r="5" spans="1:16">
      <c r="A5" s="1325" t="s">
        <v>593</v>
      </c>
      <c r="B5" s="1326"/>
      <c r="C5" s="1326"/>
      <c r="D5" s="1326"/>
      <c r="E5" s="1326"/>
      <c r="F5" s="1326"/>
      <c r="G5" s="1326"/>
      <c r="H5" s="1326"/>
      <c r="I5" s="1326"/>
      <c r="J5" s="1326"/>
      <c r="K5" s="1326"/>
      <c r="L5" s="1326"/>
      <c r="M5" s="1326"/>
      <c r="N5" s="1326"/>
      <c r="O5" s="1326"/>
      <c r="P5" s="1327"/>
    </row>
    <row r="6" spans="1:16">
      <c r="A6" s="476"/>
      <c r="B6" s="476"/>
      <c r="C6" s="476"/>
      <c r="D6" s="476"/>
      <c r="E6" s="476"/>
      <c r="F6" s="476"/>
      <c r="G6" s="476"/>
      <c r="H6" s="476"/>
      <c r="I6" s="476"/>
      <c r="J6" s="476"/>
      <c r="K6" s="476"/>
      <c r="L6" s="476"/>
      <c r="M6" s="476"/>
      <c r="N6" s="476"/>
      <c r="O6" s="476"/>
      <c r="P6" s="476"/>
    </row>
    <row r="8" spans="1:16" ht="15.75" thickBot="1">
      <c r="B8" s="1275" t="s">
        <v>594</v>
      </c>
      <c r="C8" s="1275"/>
      <c r="D8" s="1275"/>
      <c r="E8" s="1275"/>
      <c r="F8" s="1275"/>
      <c r="G8" s="1275"/>
      <c r="H8" s="1275"/>
      <c r="I8" s="1275"/>
      <c r="J8" s="1275"/>
      <c r="K8" s="1275"/>
      <c r="L8" s="1275"/>
      <c r="M8" s="1275"/>
      <c r="N8" s="1275"/>
      <c r="O8" s="1275"/>
      <c r="P8" s="1275"/>
    </row>
    <row r="9" spans="1:16" ht="71.25" customHeight="1" thickBot="1">
      <c r="B9" s="477" t="s">
        <v>4</v>
      </c>
      <c r="C9" s="478" t="s">
        <v>52</v>
      </c>
      <c r="D9" s="478" t="s">
        <v>255</v>
      </c>
      <c r="E9" s="479" t="s">
        <v>256</v>
      </c>
      <c r="F9" s="480" t="s">
        <v>257</v>
      </c>
      <c r="G9" s="481" t="s">
        <v>258</v>
      </c>
      <c r="H9" s="482" t="s">
        <v>259</v>
      </c>
      <c r="I9" s="483" t="s">
        <v>260</v>
      </c>
      <c r="J9" s="484" t="s">
        <v>261</v>
      </c>
      <c r="K9" s="481" t="s">
        <v>262</v>
      </c>
      <c r="L9" s="482" t="s">
        <v>263</v>
      </c>
      <c r="M9" s="485" t="s">
        <v>264</v>
      </c>
      <c r="N9" s="486" t="s">
        <v>265</v>
      </c>
      <c r="O9" s="487" t="s">
        <v>266</v>
      </c>
      <c r="P9" s="484" t="s">
        <v>267</v>
      </c>
    </row>
    <row r="10" spans="1:16" ht="16.5" thickTop="1" thickBot="1">
      <c r="B10" s="488" t="s">
        <v>51</v>
      </c>
      <c r="C10" s="489" t="s">
        <v>595</v>
      </c>
      <c r="D10" s="490">
        <f t="shared" ref="D10:P10" si="0">D11+D15+D20+D23+D26+D29</f>
        <v>6806.9199999999992</v>
      </c>
      <c r="E10" s="491">
        <f t="shared" si="0"/>
        <v>54.925494043887149</v>
      </c>
      <c r="F10" s="492">
        <f t="shared" si="0"/>
        <v>3662.8181228263875</v>
      </c>
      <c r="G10" s="493">
        <f t="shared" si="0"/>
        <v>850.67101021612621</v>
      </c>
      <c r="H10" s="494">
        <f t="shared" si="0"/>
        <v>166.33988836412553</v>
      </c>
      <c r="I10" s="495">
        <f t="shared" si="0"/>
        <v>2645.8072242461362</v>
      </c>
      <c r="J10" s="492">
        <f t="shared" si="0"/>
        <v>2649.7769835691147</v>
      </c>
      <c r="K10" s="493">
        <f t="shared" si="0"/>
        <v>2239.6739727683794</v>
      </c>
      <c r="L10" s="494">
        <f t="shared" si="0"/>
        <v>381.93322080073574</v>
      </c>
      <c r="M10" s="496">
        <f t="shared" si="0"/>
        <v>28.169789999999999</v>
      </c>
      <c r="N10" s="491">
        <f t="shared" si="0"/>
        <v>0</v>
      </c>
      <c r="O10" s="497">
        <f t="shared" si="0"/>
        <v>0</v>
      </c>
      <c r="P10" s="492">
        <f t="shared" si="0"/>
        <v>439.39939956060988</v>
      </c>
    </row>
    <row r="11" spans="1:16" ht="15.75" thickTop="1">
      <c r="B11" s="498" t="s">
        <v>96</v>
      </c>
      <c r="C11" s="499" t="s">
        <v>8</v>
      </c>
      <c r="D11" s="500">
        <f t="shared" ref="D11:D55" si="1">E11+F11+J11+N11+O11+P11</f>
        <v>28.95</v>
      </c>
      <c r="E11" s="501">
        <f>SUM(E12:E14)</f>
        <v>28.95</v>
      </c>
      <c r="F11" s="502">
        <f t="shared" ref="F11:F32" si="2">SUM(G11:I11)</f>
        <v>0</v>
      </c>
      <c r="G11" s="503">
        <f>SUM(G12:G14)</f>
        <v>0</v>
      </c>
      <c r="H11" s="504">
        <f>SUM(H12:H14)</f>
        <v>0</v>
      </c>
      <c r="I11" s="505">
        <f>SUM(I12:I14)</f>
        <v>0</v>
      </c>
      <c r="J11" s="502">
        <f t="shared" ref="J11:J32" si="3">SUM(K11:M11)</f>
        <v>0</v>
      </c>
      <c r="K11" s="503">
        <f t="shared" ref="K11:P11" si="4">SUM(K12:K14)</f>
        <v>0</v>
      </c>
      <c r="L11" s="504">
        <f t="shared" si="4"/>
        <v>0</v>
      </c>
      <c r="M11" s="506">
        <f t="shared" si="4"/>
        <v>0</v>
      </c>
      <c r="N11" s="501">
        <f t="shared" si="4"/>
        <v>0</v>
      </c>
      <c r="O11" s="507">
        <f t="shared" si="4"/>
        <v>0</v>
      </c>
      <c r="P11" s="502">
        <f t="shared" si="4"/>
        <v>0</v>
      </c>
    </row>
    <row r="12" spans="1:16">
      <c r="B12" s="508" t="s">
        <v>98</v>
      </c>
      <c r="C12" s="509" t="s">
        <v>10</v>
      </c>
      <c r="D12" s="500">
        <f t="shared" si="1"/>
        <v>28.95</v>
      </c>
      <c r="E12" s="510">
        <f>SUM(E35,E58,E98)</f>
        <v>28.95</v>
      </c>
      <c r="F12" s="502">
        <f t="shared" si="2"/>
        <v>0</v>
      </c>
      <c r="G12" s="511">
        <f t="shared" ref="G12:I14" si="5">SUM(G35,G58,G98)</f>
        <v>0</v>
      </c>
      <c r="H12" s="512">
        <f t="shared" si="5"/>
        <v>0</v>
      </c>
      <c r="I12" s="512">
        <f t="shared" si="5"/>
        <v>0</v>
      </c>
      <c r="J12" s="502">
        <f t="shared" si="3"/>
        <v>0</v>
      </c>
      <c r="K12" s="513">
        <f t="shared" ref="K12:P14" si="6">SUM(K35,K58,K98)</f>
        <v>0</v>
      </c>
      <c r="L12" s="514">
        <f t="shared" si="6"/>
        <v>0</v>
      </c>
      <c r="M12" s="514">
        <f t="shared" si="6"/>
        <v>0</v>
      </c>
      <c r="N12" s="515">
        <f t="shared" si="6"/>
        <v>0</v>
      </c>
      <c r="O12" s="516">
        <f t="shared" si="6"/>
        <v>0</v>
      </c>
      <c r="P12" s="517">
        <f t="shared" si="6"/>
        <v>0</v>
      </c>
    </row>
    <row r="13" spans="1:16">
      <c r="B13" s="508" t="s">
        <v>100</v>
      </c>
      <c r="C13" s="509" t="s">
        <v>11</v>
      </c>
      <c r="D13" s="500">
        <f t="shared" si="1"/>
        <v>0</v>
      </c>
      <c r="E13" s="510">
        <f t="shared" ref="E13:E14" si="7">SUM(E36,E59,E99)</f>
        <v>0</v>
      </c>
      <c r="F13" s="502">
        <f t="shared" si="2"/>
        <v>0</v>
      </c>
      <c r="G13" s="511">
        <f t="shared" si="5"/>
        <v>0</v>
      </c>
      <c r="H13" s="512">
        <f t="shared" si="5"/>
        <v>0</v>
      </c>
      <c r="I13" s="512">
        <f t="shared" si="5"/>
        <v>0</v>
      </c>
      <c r="J13" s="502">
        <f t="shared" si="3"/>
        <v>0</v>
      </c>
      <c r="K13" s="513">
        <f t="shared" si="6"/>
        <v>0</v>
      </c>
      <c r="L13" s="514">
        <f t="shared" si="6"/>
        <v>0</v>
      </c>
      <c r="M13" s="514">
        <f t="shared" si="6"/>
        <v>0</v>
      </c>
      <c r="N13" s="515">
        <f t="shared" si="6"/>
        <v>0</v>
      </c>
      <c r="O13" s="516">
        <f t="shared" si="6"/>
        <v>0</v>
      </c>
      <c r="P13" s="518">
        <f t="shared" si="6"/>
        <v>0</v>
      </c>
    </row>
    <row r="14" spans="1:16">
      <c r="B14" s="508" t="s">
        <v>596</v>
      </c>
      <c r="C14" s="509" t="s">
        <v>13</v>
      </c>
      <c r="D14" s="500">
        <f t="shared" si="1"/>
        <v>0</v>
      </c>
      <c r="E14" s="510">
        <f t="shared" si="7"/>
        <v>0</v>
      </c>
      <c r="F14" s="502">
        <f t="shared" si="2"/>
        <v>0</v>
      </c>
      <c r="G14" s="511">
        <f t="shared" si="5"/>
        <v>0</v>
      </c>
      <c r="H14" s="512">
        <f t="shared" si="5"/>
        <v>0</v>
      </c>
      <c r="I14" s="512">
        <f t="shared" si="5"/>
        <v>0</v>
      </c>
      <c r="J14" s="502">
        <f t="shared" si="3"/>
        <v>0</v>
      </c>
      <c r="K14" s="513">
        <f t="shared" si="6"/>
        <v>0</v>
      </c>
      <c r="L14" s="514">
        <f t="shared" si="6"/>
        <v>0</v>
      </c>
      <c r="M14" s="514">
        <f t="shared" si="6"/>
        <v>0</v>
      </c>
      <c r="N14" s="515">
        <f t="shared" si="6"/>
        <v>0</v>
      </c>
      <c r="O14" s="516">
        <f t="shared" si="6"/>
        <v>0</v>
      </c>
      <c r="P14" s="518">
        <f t="shared" si="6"/>
        <v>0</v>
      </c>
    </row>
    <row r="15" spans="1:16">
      <c r="B15" s="498" t="s">
        <v>102</v>
      </c>
      <c r="C15" s="519" t="s">
        <v>15</v>
      </c>
      <c r="D15" s="500">
        <f t="shared" si="1"/>
        <v>6233.32</v>
      </c>
      <c r="E15" s="501">
        <f>SUM(E16:E19)</f>
        <v>0</v>
      </c>
      <c r="F15" s="502">
        <f t="shared" si="2"/>
        <v>3478.5713953947943</v>
      </c>
      <c r="G15" s="503">
        <f>SUM(G16:G19)</f>
        <v>771.48802818104502</v>
      </c>
      <c r="H15" s="504">
        <f>SUM(H16:H19)</f>
        <v>121.99336721374981</v>
      </c>
      <c r="I15" s="505">
        <f>SUM(I16:I19)</f>
        <v>2585.0899999999997</v>
      </c>
      <c r="J15" s="502">
        <f t="shared" si="3"/>
        <v>2601.8586046052051</v>
      </c>
      <c r="K15" s="520">
        <f t="shared" ref="K15:P15" si="8">SUM(K16:K19)</f>
        <v>2228.1002430521185</v>
      </c>
      <c r="L15" s="521">
        <f t="shared" si="8"/>
        <v>373.75836155308684</v>
      </c>
      <c r="M15" s="521">
        <f t="shared" si="8"/>
        <v>0</v>
      </c>
      <c r="N15" s="522">
        <f t="shared" si="8"/>
        <v>0</v>
      </c>
      <c r="O15" s="501">
        <f t="shared" si="8"/>
        <v>0</v>
      </c>
      <c r="P15" s="502">
        <f t="shared" si="8"/>
        <v>152.88999999999999</v>
      </c>
    </row>
    <row r="16" spans="1:16">
      <c r="B16" s="508" t="s">
        <v>104</v>
      </c>
      <c r="C16" s="509" t="s">
        <v>17</v>
      </c>
      <c r="D16" s="500">
        <f t="shared" si="1"/>
        <v>937.04000000000008</v>
      </c>
      <c r="E16" s="510">
        <f t="shared" ref="E16:E19" si="9">SUM(E39,E62,E102)</f>
        <v>0</v>
      </c>
      <c r="F16" s="502">
        <f t="shared" si="2"/>
        <v>656.55139539479489</v>
      </c>
      <c r="G16" s="511">
        <f t="shared" ref="G16:I19" si="10">SUM(G39,G62,G102)</f>
        <v>550.19802818104506</v>
      </c>
      <c r="H16" s="512">
        <f t="shared" si="10"/>
        <v>106.35336721374981</v>
      </c>
      <c r="I16" s="512">
        <f t="shared" si="10"/>
        <v>0</v>
      </c>
      <c r="J16" s="502">
        <f t="shared" si="3"/>
        <v>280.48860460520518</v>
      </c>
      <c r="K16" s="513">
        <f t="shared" ref="K16:P19" si="11">SUM(K39,K62,K102)</f>
        <v>30.280243052118351</v>
      </c>
      <c r="L16" s="514">
        <f t="shared" si="11"/>
        <v>250.20836155308683</v>
      </c>
      <c r="M16" s="514">
        <f t="shared" si="11"/>
        <v>0</v>
      </c>
      <c r="N16" s="515">
        <f t="shared" si="11"/>
        <v>0</v>
      </c>
      <c r="O16" s="516">
        <f t="shared" si="11"/>
        <v>0</v>
      </c>
      <c r="P16" s="518">
        <f t="shared" si="11"/>
        <v>0</v>
      </c>
    </row>
    <row r="17" spans="2:16">
      <c r="B17" s="508" t="s">
        <v>110</v>
      </c>
      <c r="C17" s="509" t="s">
        <v>597</v>
      </c>
      <c r="D17" s="500">
        <f t="shared" si="1"/>
        <v>63.44</v>
      </c>
      <c r="E17" s="510">
        <f t="shared" si="9"/>
        <v>0</v>
      </c>
      <c r="F17" s="502">
        <f t="shared" si="2"/>
        <v>63.44</v>
      </c>
      <c r="G17" s="511">
        <f t="shared" si="10"/>
        <v>63.44</v>
      </c>
      <c r="H17" s="512">
        <f t="shared" si="10"/>
        <v>0</v>
      </c>
      <c r="I17" s="512">
        <f t="shared" si="10"/>
        <v>0</v>
      </c>
      <c r="J17" s="502">
        <f t="shared" si="3"/>
        <v>0</v>
      </c>
      <c r="K17" s="513">
        <f t="shared" si="11"/>
        <v>0</v>
      </c>
      <c r="L17" s="514">
        <f t="shared" si="11"/>
        <v>0</v>
      </c>
      <c r="M17" s="514">
        <f t="shared" si="11"/>
        <v>0</v>
      </c>
      <c r="N17" s="515">
        <f t="shared" si="11"/>
        <v>0</v>
      </c>
      <c r="O17" s="516">
        <f t="shared" si="11"/>
        <v>0</v>
      </c>
      <c r="P17" s="518">
        <f t="shared" si="11"/>
        <v>0</v>
      </c>
    </row>
    <row r="18" spans="2:16">
      <c r="B18" s="508" t="s">
        <v>117</v>
      </c>
      <c r="C18" s="509" t="s">
        <v>23</v>
      </c>
      <c r="D18" s="500">
        <f t="shared" si="1"/>
        <v>4237.8500000000004</v>
      </c>
      <c r="E18" s="510">
        <f t="shared" si="9"/>
        <v>0</v>
      </c>
      <c r="F18" s="502">
        <f t="shared" si="2"/>
        <v>2372.37</v>
      </c>
      <c r="G18" s="511">
        <f t="shared" si="10"/>
        <v>0</v>
      </c>
      <c r="H18" s="512">
        <f t="shared" si="10"/>
        <v>0</v>
      </c>
      <c r="I18" s="512">
        <f t="shared" si="10"/>
        <v>2372.37</v>
      </c>
      <c r="J18" s="502">
        <f t="shared" si="3"/>
        <v>1712.59</v>
      </c>
      <c r="K18" s="513">
        <f t="shared" si="11"/>
        <v>1712.59</v>
      </c>
      <c r="L18" s="514">
        <f t="shared" si="11"/>
        <v>0</v>
      </c>
      <c r="M18" s="514">
        <f t="shared" si="11"/>
        <v>0</v>
      </c>
      <c r="N18" s="515">
        <f t="shared" si="11"/>
        <v>0</v>
      </c>
      <c r="O18" s="516">
        <f t="shared" si="11"/>
        <v>0</v>
      </c>
      <c r="P18" s="518">
        <f t="shared" si="11"/>
        <v>152.88999999999999</v>
      </c>
    </row>
    <row r="19" spans="2:16" ht="38.25">
      <c r="B19" s="508" t="s">
        <v>598</v>
      </c>
      <c r="C19" s="509" t="s">
        <v>599</v>
      </c>
      <c r="D19" s="500">
        <f t="shared" si="1"/>
        <v>994.99</v>
      </c>
      <c r="E19" s="510">
        <f t="shared" si="9"/>
        <v>0</v>
      </c>
      <c r="F19" s="502">
        <f t="shared" si="2"/>
        <v>386.21000000000004</v>
      </c>
      <c r="G19" s="511">
        <f t="shared" si="10"/>
        <v>157.85</v>
      </c>
      <c r="H19" s="512">
        <f t="shared" si="10"/>
        <v>15.64</v>
      </c>
      <c r="I19" s="512">
        <f t="shared" si="10"/>
        <v>212.72</v>
      </c>
      <c r="J19" s="502">
        <f t="shared" si="3"/>
        <v>608.78</v>
      </c>
      <c r="K19" s="513">
        <f t="shared" si="11"/>
        <v>485.23</v>
      </c>
      <c r="L19" s="514">
        <f t="shared" si="11"/>
        <v>123.55</v>
      </c>
      <c r="M19" s="514">
        <f t="shared" si="11"/>
        <v>0</v>
      </c>
      <c r="N19" s="515">
        <f t="shared" si="11"/>
        <v>0</v>
      </c>
      <c r="O19" s="516">
        <f t="shared" si="11"/>
        <v>0</v>
      </c>
      <c r="P19" s="518">
        <f t="shared" si="11"/>
        <v>0</v>
      </c>
    </row>
    <row r="20" spans="2:16">
      <c r="B20" s="498" t="s">
        <v>124</v>
      </c>
      <c r="C20" s="523" t="s">
        <v>27</v>
      </c>
      <c r="D20" s="500">
        <f t="shared" si="1"/>
        <v>129.64999999999998</v>
      </c>
      <c r="E20" s="501">
        <f>SUM(E21:E22)</f>
        <v>3.1554940438871473</v>
      </c>
      <c r="F20" s="502">
        <f t="shared" si="2"/>
        <v>106.74591699220319</v>
      </c>
      <c r="G20" s="503">
        <f>SUM(G21:G22)</f>
        <v>49.290739466280847</v>
      </c>
      <c r="H20" s="504">
        <f>SUM(H21:H22)</f>
        <v>33.861191029659992</v>
      </c>
      <c r="I20" s="505">
        <f>SUM(I21:I22)</f>
        <v>23.593986496262357</v>
      </c>
      <c r="J20" s="502">
        <f t="shared" si="3"/>
        <v>19.748588963909654</v>
      </c>
      <c r="K20" s="520">
        <f t="shared" ref="K20:P20" si="12">SUM(K21:K22)</f>
        <v>11.57372971626075</v>
      </c>
      <c r="L20" s="521">
        <f t="shared" si="12"/>
        <v>8.1748592476489037</v>
      </c>
      <c r="M20" s="521">
        <f t="shared" si="12"/>
        <v>0</v>
      </c>
      <c r="N20" s="522">
        <f t="shared" si="12"/>
        <v>0</v>
      </c>
      <c r="O20" s="501">
        <f t="shared" si="12"/>
        <v>0</v>
      </c>
      <c r="P20" s="502">
        <f t="shared" si="12"/>
        <v>0</v>
      </c>
    </row>
    <row r="21" spans="2:16" ht="51.75">
      <c r="B21" s="508" t="s">
        <v>126</v>
      </c>
      <c r="C21" s="524" t="s">
        <v>29</v>
      </c>
      <c r="D21" s="500">
        <f t="shared" si="1"/>
        <v>129.64999999999998</v>
      </c>
      <c r="E21" s="510">
        <f>SUM(E44,E67,E107)</f>
        <v>3.1554940438871473</v>
      </c>
      <c r="F21" s="502">
        <f t="shared" si="2"/>
        <v>106.74591699220319</v>
      </c>
      <c r="G21" s="511">
        <f t="shared" ref="G21:I21" si="13">SUM(G44,G67,G107)</f>
        <v>49.290739466280847</v>
      </c>
      <c r="H21" s="512">
        <f t="shared" si="13"/>
        <v>33.861191029659992</v>
      </c>
      <c r="I21" s="512">
        <f t="shared" si="13"/>
        <v>23.593986496262357</v>
      </c>
      <c r="J21" s="502">
        <f t="shared" si="3"/>
        <v>19.748588963909654</v>
      </c>
      <c r="K21" s="513">
        <f t="shared" ref="K21:P21" si="14">SUM(K44,K67,K107)</f>
        <v>11.57372971626075</v>
      </c>
      <c r="L21" s="514">
        <f t="shared" si="14"/>
        <v>8.1748592476489037</v>
      </c>
      <c r="M21" s="514">
        <f t="shared" si="14"/>
        <v>0</v>
      </c>
      <c r="N21" s="515">
        <f t="shared" si="14"/>
        <v>0</v>
      </c>
      <c r="O21" s="516">
        <f t="shared" si="14"/>
        <v>0</v>
      </c>
      <c r="P21" s="518">
        <f t="shared" si="14"/>
        <v>0</v>
      </c>
    </row>
    <row r="22" spans="2:16">
      <c r="B22" s="508" t="s">
        <v>128</v>
      </c>
      <c r="C22" s="524" t="s">
        <v>31</v>
      </c>
      <c r="D22" s="500">
        <f t="shared" si="1"/>
        <v>0</v>
      </c>
      <c r="E22" s="510">
        <f>SUM(E45,E68)</f>
        <v>0</v>
      </c>
      <c r="F22" s="502">
        <f t="shared" si="2"/>
        <v>0</v>
      </c>
      <c r="G22" s="511">
        <f t="shared" ref="G22:I22" si="15">SUM(G45,G68)</f>
        <v>0</v>
      </c>
      <c r="H22" s="512">
        <f t="shared" si="15"/>
        <v>0</v>
      </c>
      <c r="I22" s="512">
        <f t="shared" si="15"/>
        <v>0</v>
      </c>
      <c r="J22" s="502">
        <f t="shared" si="3"/>
        <v>0</v>
      </c>
      <c r="K22" s="513">
        <f t="shared" ref="K22:P22" si="16">SUM(K45,K68)</f>
        <v>0</v>
      </c>
      <c r="L22" s="514">
        <f t="shared" si="16"/>
        <v>0</v>
      </c>
      <c r="M22" s="514">
        <f t="shared" si="16"/>
        <v>0</v>
      </c>
      <c r="N22" s="515">
        <f t="shared" si="16"/>
        <v>0</v>
      </c>
      <c r="O22" s="516">
        <f t="shared" si="16"/>
        <v>0</v>
      </c>
      <c r="P22" s="518">
        <f t="shared" si="16"/>
        <v>0</v>
      </c>
    </row>
    <row r="23" spans="2:16">
      <c r="B23" s="498" t="s">
        <v>131</v>
      </c>
      <c r="C23" s="523" t="s">
        <v>33</v>
      </c>
      <c r="D23" s="500">
        <f t="shared" si="1"/>
        <v>84.97</v>
      </c>
      <c r="E23" s="501">
        <f>SUM(E24:E25)</f>
        <v>0</v>
      </c>
      <c r="F23" s="502">
        <f t="shared" si="2"/>
        <v>77.500810439390122</v>
      </c>
      <c r="G23" s="503">
        <f>SUM(G24:G25)</f>
        <v>29.892242568800402</v>
      </c>
      <c r="H23" s="504">
        <f>SUM(H24:H25)</f>
        <v>10.485330120715728</v>
      </c>
      <c r="I23" s="505">
        <f>SUM(I24:I25)</f>
        <v>37.123237749873994</v>
      </c>
      <c r="J23" s="502">
        <f t="shared" si="3"/>
        <v>0</v>
      </c>
      <c r="K23" s="520">
        <f t="shared" ref="K23:P23" si="17">SUM(K24:K25)</f>
        <v>0</v>
      </c>
      <c r="L23" s="521">
        <f t="shared" si="17"/>
        <v>0</v>
      </c>
      <c r="M23" s="521">
        <f t="shared" si="17"/>
        <v>0</v>
      </c>
      <c r="N23" s="522">
        <f t="shared" si="17"/>
        <v>0</v>
      </c>
      <c r="O23" s="501">
        <f t="shared" si="17"/>
        <v>0</v>
      </c>
      <c r="P23" s="502">
        <f t="shared" si="17"/>
        <v>7.4691895606098786</v>
      </c>
    </row>
    <row r="24" spans="2:16">
      <c r="B24" s="525" t="s">
        <v>133</v>
      </c>
      <c r="C24" s="524" t="s">
        <v>600</v>
      </c>
      <c r="D24" s="500">
        <f t="shared" si="1"/>
        <v>0</v>
      </c>
      <c r="E24" s="510">
        <f>SUM(E47,E70,E109)</f>
        <v>0</v>
      </c>
      <c r="F24" s="526">
        <f t="shared" si="2"/>
        <v>0</v>
      </c>
      <c r="G24" s="527">
        <f t="shared" ref="G24:I25" si="18">SUM(G47,G70,G109)</f>
        <v>0</v>
      </c>
      <c r="H24" s="528">
        <f t="shared" si="18"/>
        <v>0</v>
      </c>
      <c r="I24" s="528">
        <f t="shared" si="18"/>
        <v>0</v>
      </c>
      <c r="J24" s="526">
        <f t="shared" si="3"/>
        <v>0</v>
      </c>
      <c r="K24" s="529">
        <f t="shared" ref="K24:P25" si="19">SUM(K47,K70,K109)</f>
        <v>0</v>
      </c>
      <c r="L24" s="530">
        <f t="shared" si="19"/>
        <v>0</v>
      </c>
      <c r="M24" s="530">
        <f t="shared" si="19"/>
        <v>0</v>
      </c>
      <c r="N24" s="531">
        <f t="shared" si="19"/>
        <v>0</v>
      </c>
      <c r="O24" s="532">
        <f t="shared" si="19"/>
        <v>0</v>
      </c>
      <c r="P24" s="533">
        <f t="shared" si="19"/>
        <v>0</v>
      </c>
    </row>
    <row r="25" spans="2:16" ht="26.25">
      <c r="B25" s="525" t="s">
        <v>135</v>
      </c>
      <c r="C25" s="534" t="s">
        <v>601</v>
      </c>
      <c r="D25" s="500">
        <f t="shared" si="1"/>
        <v>84.97</v>
      </c>
      <c r="E25" s="510">
        <f>SUM(E48,E71,E110)</f>
        <v>0</v>
      </c>
      <c r="F25" s="526">
        <f t="shared" si="2"/>
        <v>77.500810439390122</v>
      </c>
      <c r="G25" s="527">
        <f t="shared" si="18"/>
        <v>29.892242568800402</v>
      </c>
      <c r="H25" s="528">
        <f t="shared" si="18"/>
        <v>10.485330120715728</v>
      </c>
      <c r="I25" s="528">
        <f t="shared" si="18"/>
        <v>37.123237749873994</v>
      </c>
      <c r="J25" s="526">
        <f t="shared" si="3"/>
        <v>0</v>
      </c>
      <c r="K25" s="529">
        <f t="shared" si="19"/>
        <v>0</v>
      </c>
      <c r="L25" s="530">
        <f t="shared" si="19"/>
        <v>0</v>
      </c>
      <c r="M25" s="530">
        <f t="shared" si="19"/>
        <v>0</v>
      </c>
      <c r="N25" s="531">
        <f t="shared" si="19"/>
        <v>0</v>
      </c>
      <c r="O25" s="532">
        <f t="shared" si="19"/>
        <v>0</v>
      </c>
      <c r="P25" s="533">
        <f t="shared" si="19"/>
        <v>7.4691895606098786</v>
      </c>
    </row>
    <row r="26" spans="2:16">
      <c r="B26" s="498" t="s">
        <v>274</v>
      </c>
      <c r="C26" s="535" t="s">
        <v>39</v>
      </c>
      <c r="D26" s="536">
        <f t="shared" si="1"/>
        <v>329.28</v>
      </c>
      <c r="E26" s="537">
        <f>SUM(E27:E28)</f>
        <v>22.07</v>
      </c>
      <c r="F26" s="538">
        <f t="shared" si="2"/>
        <v>0</v>
      </c>
      <c r="G26" s="539">
        <f>SUM(G27:G28)</f>
        <v>0</v>
      </c>
      <c r="H26" s="540">
        <f>SUM(H27:H28)</f>
        <v>0</v>
      </c>
      <c r="I26" s="541">
        <f>SUM(I27:I28)</f>
        <v>0</v>
      </c>
      <c r="J26" s="538">
        <f t="shared" si="3"/>
        <v>28.169789999999999</v>
      </c>
      <c r="K26" s="539">
        <f t="shared" ref="K26:P26" si="20">SUM(K27:K28)</f>
        <v>0</v>
      </c>
      <c r="L26" s="540">
        <f t="shared" si="20"/>
        <v>0</v>
      </c>
      <c r="M26" s="540">
        <f t="shared" si="20"/>
        <v>28.169789999999999</v>
      </c>
      <c r="N26" s="542">
        <f t="shared" si="20"/>
        <v>0</v>
      </c>
      <c r="O26" s="537">
        <f t="shared" si="20"/>
        <v>0</v>
      </c>
      <c r="P26" s="538">
        <f t="shared" si="20"/>
        <v>279.04021</v>
      </c>
    </row>
    <row r="27" spans="2:16">
      <c r="B27" s="543" t="s">
        <v>276</v>
      </c>
      <c r="C27" s="544" t="s">
        <v>41</v>
      </c>
      <c r="D27" s="545">
        <f t="shared" si="1"/>
        <v>22.07</v>
      </c>
      <c r="E27" s="510">
        <f>SUM(E50,E73,E112)</f>
        <v>22.07</v>
      </c>
      <c r="F27" s="546">
        <f t="shared" si="2"/>
        <v>0</v>
      </c>
      <c r="G27" s="547">
        <f t="shared" ref="G27:I28" si="21">SUM(G50,G73,G112)</f>
        <v>0</v>
      </c>
      <c r="H27" s="548">
        <f t="shared" si="21"/>
        <v>0</v>
      </c>
      <c r="I27" s="548">
        <f t="shared" si="21"/>
        <v>0</v>
      </c>
      <c r="J27" s="546">
        <f t="shared" si="3"/>
        <v>0</v>
      </c>
      <c r="K27" s="529">
        <f t="shared" ref="K27:P28" si="22">SUM(K50,K73,K112)</f>
        <v>0</v>
      </c>
      <c r="L27" s="530">
        <f t="shared" si="22"/>
        <v>0</v>
      </c>
      <c r="M27" s="530">
        <f t="shared" si="22"/>
        <v>0</v>
      </c>
      <c r="N27" s="531">
        <f t="shared" si="22"/>
        <v>0</v>
      </c>
      <c r="O27" s="549">
        <f t="shared" si="22"/>
        <v>0</v>
      </c>
      <c r="P27" s="550">
        <f t="shared" si="22"/>
        <v>0</v>
      </c>
    </row>
    <row r="28" spans="2:16" ht="26.25">
      <c r="B28" s="543" t="s">
        <v>278</v>
      </c>
      <c r="C28" s="551" t="s">
        <v>43</v>
      </c>
      <c r="D28" s="536">
        <f t="shared" si="1"/>
        <v>307.20999999999998</v>
      </c>
      <c r="E28" s="510">
        <f>SUM(E51,E74,E113)</f>
        <v>0</v>
      </c>
      <c r="F28" s="538">
        <f t="shared" si="2"/>
        <v>0</v>
      </c>
      <c r="G28" s="529">
        <f t="shared" si="21"/>
        <v>0</v>
      </c>
      <c r="H28" s="530">
        <f t="shared" si="21"/>
        <v>0</v>
      </c>
      <c r="I28" s="530">
        <f t="shared" si="21"/>
        <v>0</v>
      </c>
      <c r="J28" s="538">
        <f t="shared" si="3"/>
        <v>28.169789999999999</v>
      </c>
      <c r="K28" s="529">
        <f t="shared" si="22"/>
        <v>0</v>
      </c>
      <c r="L28" s="530">
        <f t="shared" si="22"/>
        <v>0</v>
      </c>
      <c r="M28" s="530">
        <f t="shared" si="22"/>
        <v>28.169789999999999</v>
      </c>
      <c r="N28" s="531">
        <f t="shared" si="22"/>
        <v>0</v>
      </c>
      <c r="O28" s="552">
        <f t="shared" si="22"/>
        <v>0</v>
      </c>
      <c r="P28" s="553">
        <f t="shared" si="22"/>
        <v>279.04021</v>
      </c>
    </row>
    <row r="29" spans="2:16">
      <c r="B29" s="554" t="s">
        <v>282</v>
      </c>
      <c r="C29" s="555" t="s">
        <v>602</v>
      </c>
      <c r="D29" s="536">
        <f t="shared" si="1"/>
        <v>0.75</v>
      </c>
      <c r="E29" s="537">
        <f>SUM(E30:E32)</f>
        <v>0.75</v>
      </c>
      <c r="F29" s="538">
        <f t="shared" si="2"/>
        <v>0</v>
      </c>
      <c r="G29" s="539">
        <f>SUM(G30:G32)</f>
        <v>0</v>
      </c>
      <c r="H29" s="540">
        <f>SUM(H30:H32)</f>
        <v>0</v>
      </c>
      <c r="I29" s="541">
        <f>SUM(I30:I32)</f>
        <v>0</v>
      </c>
      <c r="J29" s="538">
        <f t="shared" si="3"/>
        <v>0</v>
      </c>
      <c r="K29" s="539">
        <f t="shared" ref="K29:P29" si="23">SUM(K30:K32)</f>
        <v>0</v>
      </c>
      <c r="L29" s="540">
        <f t="shared" si="23"/>
        <v>0</v>
      </c>
      <c r="M29" s="540">
        <f t="shared" si="23"/>
        <v>0</v>
      </c>
      <c r="N29" s="542">
        <f t="shared" si="23"/>
        <v>0</v>
      </c>
      <c r="O29" s="537">
        <f t="shared" si="23"/>
        <v>0</v>
      </c>
      <c r="P29" s="538">
        <f t="shared" si="23"/>
        <v>0</v>
      </c>
    </row>
    <row r="30" spans="2:16">
      <c r="B30" s="556" t="s">
        <v>284</v>
      </c>
      <c r="C30" s="557" t="s">
        <v>603</v>
      </c>
      <c r="D30" s="536">
        <f t="shared" si="1"/>
        <v>0</v>
      </c>
      <c r="E30" s="558">
        <f t="shared" ref="E30:E32" si="24">SUM(E53,E76,E115)</f>
        <v>0</v>
      </c>
      <c r="F30" s="538">
        <f t="shared" si="2"/>
        <v>0</v>
      </c>
      <c r="G30" s="529">
        <f t="shared" ref="G30:I32" si="25">SUM(G53,G76,G115)</f>
        <v>0</v>
      </c>
      <c r="H30" s="530">
        <f t="shared" si="25"/>
        <v>0</v>
      </c>
      <c r="I30" s="530">
        <f t="shared" si="25"/>
        <v>0</v>
      </c>
      <c r="J30" s="538">
        <f t="shared" si="3"/>
        <v>0</v>
      </c>
      <c r="K30" s="529">
        <f t="shared" ref="K30:P32" si="26">SUM(K53,K76,K115)</f>
        <v>0</v>
      </c>
      <c r="L30" s="530">
        <f t="shared" si="26"/>
        <v>0</v>
      </c>
      <c r="M30" s="530">
        <f t="shared" si="26"/>
        <v>0</v>
      </c>
      <c r="N30" s="531">
        <f t="shared" si="26"/>
        <v>0</v>
      </c>
      <c r="O30" s="552">
        <f t="shared" si="26"/>
        <v>0</v>
      </c>
      <c r="P30" s="553">
        <f t="shared" si="26"/>
        <v>0</v>
      </c>
    </row>
    <row r="31" spans="2:16">
      <c r="B31" s="556" t="s">
        <v>604</v>
      </c>
      <c r="C31" s="557" t="s">
        <v>603</v>
      </c>
      <c r="D31" s="536">
        <f t="shared" si="1"/>
        <v>0</v>
      </c>
      <c r="E31" s="558">
        <f t="shared" si="24"/>
        <v>0</v>
      </c>
      <c r="F31" s="538">
        <f t="shared" si="2"/>
        <v>0</v>
      </c>
      <c r="G31" s="529">
        <f t="shared" si="25"/>
        <v>0</v>
      </c>
      <c r="H31" s="530">
        <f t="shared" si="25"/>
        <v>0</v>
      </c>
      <c r="I31" s="530">
        <f t="shared" si="25"/>
        <v>0</v>
      </c>
      <c r="J31" s="538">
        <f t="shared" si="3"/>
        <v>0</v>
      </c>
      <c r="K31" s="529">
        <f t="shared" si="26"/>
        <v>0</v>
      </c>
      <c r="L31" s="530">
        <f t="shared" si="26"/>
        <v>0</v>
      </c>
      <c r="M31" s="530">
        <f t="shared" si="26"/>
        <v>0</v>
      </c>
      <c r="N31" s="531">
        <f t="shared" si="26"/>
        <v>0</v>
      </c>
      <c r="O31" s="552">
        <f t="shared" si="26"/>
        <v>0</v>
      </c>
      <c r="P31" s="553">
        <f t="shared" si="26"/>
        <v>0</v>
      </c>
    </row>
    <row r="32" spans="2:16" ht="15.75" thickBot="1">
      <c r="B32" s="559" t="s">
        <v>605</v>
      </c>
      <c r="C32" s="560" t="s">
        <v>603</v>
      </c>
      <c r="D32" s="561">
        <f t="shared" si="1"/>
        <v>0.75</v>
      </c>
      <c r="E32" s="562">
        <f t="shared" si="24"/>
        <v>0.75</v>
      </c>
      <c r="F32" s="563">
        <f t="shared" si="2"/>
        <v>0</v>
      </c>
      <c r="G32" s="564">
        <f t="shared" si="25"/>
        <v>0</v>
      </c>
      <c r="H32" s="565">
        <f t="shared" si="25"/>
        <v>0</v>
      </c>
      <c r="I32" s="565">
        <f t="shared" si="25"/>
        <v>0</v>
      </c>
      <c r="J32" s="563">
        <f t="shared" si="3"/>
        <v>0</v>
      </c>
      <c r="K32" s="547">
        <f t="shared" si="26"/>
        <v>0</v>
      </c>
      <c r="L32" s="548">
        <f t="shared" si="26"/>
        <v>0</v>
      </c>
      <c r="M32" s="548">
        <f t="shared" si="26"/>
        <v>0</v>
      </c>
      <c r="N32" s="566">
        <f t="shared" si="26"/>
        <v>0</v>
      </c>
      <c r="O32" s="567">
        <f t="shared" si="26"/>
        <v>0</v>
      </c>
      <c r="P32" s="568">
        <f t="shared" si="26"/>
        <v>0</v>
      </c>
    </row>
    <row r="33" spans="2:16" ht="16.5" thickTop="1" thickBot="1">
      <c r="B33" s="488" t="s">
        <v>53</v>
      </c>
      <c r="C33" s="489" t="s">
        <v>606</v>
      </c>
      <c r="D33" s="490">
        <f t="shared" si="1"/>
        <v>6359.9</v>
      </c>
      <c r="E33" s="491">
        <f t="shared" ref="E33:P33" si="27">E34+E38+E43+E46+E49+E52</f>
        <v>53.19</v>
      </c>
      <c r="F33" s="492">
        <f t="shared" si="27"/>
        <v>3519.4799999999996</v>
      </c>
      <c r="G33" s="493">
        <f t="shared" si="27"/>
        <v>769.65</v>
      </c>
      <c r="H33" s="494">
        <f t="shared" si="27"/>
        <v>142.15</v>
      </c>
      <c r="I33" s="495">
        <f t="shared" si="27"/>
        <v>2607.6799999999998</v>
      </c>
      <c r="J33" s="492">
        <f t="shared" si="27"/>
        <v>2598.7400000000002</v>
      </c>
      <c r="K33" s="493">
        <f t="shared" si="27"/>
        <v>2235.19</v>
      </c>
      <c r="L33" s="494">
        <f t="shared" si="27"/>
        <v>360.02</v>
      </c>
      <c r="M33" s="494">
        <f t="shared" si="27"/>
        <v>3.53</v>
      </c>
      <c r="N33" s="569">
        <f t="shared" si="27"/>
        <v>0</v>
      </c>
      <c r="O33" s="491">
        <f t="shared" si="27"/>
        <v>0</v>
      </c>
      <c r="P33" s="492">
        <f t="shared" si="27"/>
        <v>188.48999999999998</v>
      </c>
    </row>
    <row r="34" spans="2:16" ht="15.75" thickTop="1">
      <c r="B34" s="498" t="s">
        <v>55</v>
      </c>
      <c r="C34" s="499" t="s">
        <v>8</v>
      </c>
      <c r="D34" s="500">
        <f t="shared" si="1"/>
        <v>28</v>
      </c>
      <c r="E34" s="501">
        <f>SUM(E35:E37)</f>
        <v>28</v>
      </c>
      <c r="F34" s="502">
        <f t="shared" ref="F34:F55" si="28">SUM(G34:I34)</f>
        <v>0</v>
      </c>
      <c r="G34" s="503">
        <f>SUM(G35:G37)</f>
        <v>0</v>
      </c>
      <c r="H34" s="504">
        <f>SUM(H35:H37)</f>
        <v>0</v>
      </c>
      <c r="I34" s="505">
        <f>SUM(I35:I37)</f>
        <v>0</v>
      </c>
      <c r="J34" s="502">
        <f t="shared" ref="J34:J55" si="29">SUM(K34:M34)</f>
        <v>0</v>
      </c>
      <c r="K34" s="503">
        <f t="shared" ref="K34:P34" si="30">SUM(K35:K37)</f>
        <v>0</v>
      </c>
      <c r="L34" s="504">
        <f t="shared" si="30"/>
        <v>0</v>
      </c>
      <c r="M34" s="504">
        <f t="shared" si="30"/>
        <v>0</v>
      </c>
      <c r="N34" s="570">
        <f t="shared" si="30"/>
        <v>0</v>
      </c>
      <c r="O34" s="501">
        <f t="shared" si="30"/>
        <v>0</v>
      </c>
      <c r="P34" s="502">
        <f t="shared" si="30"/>
        <v>0</v>
      </c>
    </row>
    <row r="35" spans="2:16">
      <c r="B35" s="508" t="s">
        <v>138</v>
      </c>
      <c r="C35" s="509" t="s">
        <v>10</v>
      </c>
      <c r="D35" s="500">
        <f t="shared" si="1"/>
        <v>28</v>
      </c>
      <c r="E35" s="571">
        <v>28</v>
      </c>
      <c r="F35" s="502">
        <f t="shared" si="28"/>
        <v>0</v>
      </c>
      <c r="G35" s="308">
        <v>0</v>
      </c>
      <c r="H35" s="309">
        <v>0</v>
      </c>
      <c r="I35" s="572">
        <v>0</v>
      </c>
      <c r="J35" s="502">
        <f t="shared" si="29"/>
        <v>0</v>
      </c>
      <c r="K35" s="308">
        <v>0</v>
      </c>
      <c r="L35" s="309">
        <v>0</v>
      </c>
      <c r="M35" s="310">
        <v>0</v>
      </c>
      <c r="N35" s="571">
        <v>0</v>
      </c>
      <c r="O35" s="573">
        <v>0</v>
      </c>
      <c r="P35" s="574">
        <v>0</v>
      </c>
    </row>
    <row r="36" spans="2:16">
      <c r="B36" s="508" t="s">
        <v>140</v>
      </c>
      <c r="C36" s="509" t="s">
        <v>11</v>
      </c>
      <c r="D36" s="500">
        <f t="shared" si="1"/>
        <v>0</v>
      </c>
      <c r="E36" s="571">
        <v>0</v>
      </c>
      <c r="F36" s="502">
        <f t="shared" si="28"/>
        <v>0</v>
      </c>
      <c r="G36" s="308">
        <v>0</v>
      </c>
      <c r="H36" s="309">
        <v>0</v>
      </c>
      <c r="I36" s="572">
        <v>0</v>
      </c>
      <c r="J36" s="502">
        <f t="shared" si="29"/>
        <v>0</v>
      </c>
      <c r="K36" s="308">
        <v>0</v>
      </c>
      <c r="L36" s="309">
        <v>0</v>
      </c>
      <c r="M36" s="310">
        <v>0</v>
      </c>
      <c r="N36" s="571">
        <v>0</v>
      </c>
      <c r="O36" s="573">
        <v>0</v>
      </c>
      <c r="P36" s="574">
        <v>0</v>
      </c>
    </row>
    <row r="37" spans="2:16">
      <c r="B37" s="508" t="s">
        <v>607</v>
      </c>
      <c r="C37" s="509" t="s">
        <v>13</v>
      </c>
      <c r="D37" s="500">
        <f t="shared" si="1"/>
        <v>0</v>
      </c>
      <c r="E37" s="571">
        <v>0</v>
      </c>
      <c r="F37" s="502">
        <f t="shared" si="28"/>
        <v>0</v>
      </c>
      <c r="G37" s="308">
        <v>0</v>
      </c>
      <c r="H37" s="309">
        <v>0</v>
      </c>
      <c r="I37" s="572">
        <v>0</v>
      </c>
      <c r="J37" s="502">
        <f t="shared" si="29"/>
        <v>0</v>
      </c>
      <c r="K37" s="308">
        <v>0</v>
      </c>
      <c r="L37" s="309">
        <v>0</v>
      </c>
      <c r="M37" s="310">
        <v>0</v>
      </c>
      <c r="N37" s="571">
        <v>0</v>
      </c>
      <c r="O37" s="573">
        <v>0</v>
      </c>
      <c r="P37" s="574">
        <v>0</v>
      </c>
    </row>
    <row r="38" spans="2:16">
      <c r="B38" s="498" t="s">
        <v>141</v>
      </c>
      <c r="C38" s="519" t="s">
        <v>15</v>
      </c>
      <c r="D38" s="500">
        <f t="shared" si="1"/>
        <v>6156.55</v>
      </c>
      <c r="E38" s="501">
        <f>SUM(E39:E42)</f>
        <v>0</v>
      </c>
      <c r="F38" s="502">
        <f t="shared" si="28"/>
        <v>3424.7799999999997</v>
      </c>
      <c r="G38" s="503">
        <f>SUM(G39:G42)</f>
        <v>726.41</v>
      </c>
      <c r="H38" s="504">
        <f>SUM(H39:H42)</f>
        <v>113.28</v>
      </c>
      <c r="I38" s="505">
        <f>SUM(I39:I42)</f>
        <v>2585.0899999999997</v>
      </c>
      <c r="J38" s="502">
        <f t="shared" si="29"/>
        <v>2578.88</v>
      </c>
      <c r="K38" s="503">
        <f t="shared" ref="K38:P38" si="31">SUM(K39:K42)</f>
        <v>2225.62</v>
      </c>
      <c r="L38" s="504">
        <f t="shared" si="31"/>
        <v>353.26</v>
      </c>
      <c r="M38" s="506">
        <f t="shared" si="31"/>
        <v>0</v>
      </c>
      <c r="N38" s="501">
        <f t="shared" si="31"/>
        <v>0</v>
      </c>
      <c r="O38" s="507">
        <f t="shared" si="31"/>
        <v>0</v>
      </c>
      <c r="P38" s="502">
        <f t="shared" si="31"/>
        <v>152.88999999999999</v>
      </c>
    </row>
    <row r="39" spans="2:16">
      <c r="B39" s="508" t="s">
        <v>143</v>
      </c>
      <c r="C39" s="509" t="s">
        <v>17</v>
      </c>
      <c r="D39" s="500">
        <f t="shared" si="1"/>
        <v>860.27</v>
      </c>
      <c r="E39" s="571">
        <v>0</v>
      </c>
      <c r="F39" s="502">
        <f t="shared" si="28"/>
        <v>602.76</v>
      </c>
      <c r="G39" s="308">
        <v>505.12</v>
      </c>
      <c r="H39" s="309">
        <v>97.64</v>
      </c>
      <c r="I39" s="572">
        <v>0</v>
      </c>
      <c r="J39" s="502">
        <f t="shared" si="29"/>
        <v>257.51</v>
      </c>
      <c r="K39" s="308">
        <v>27.8</v>
      </c>
      <c r="L39" s="309">
        <v>229.71</v>
      </c>
      <c r="M39" s="310">
        <v>0</v>
      </c>
      <c r="N39" s="571">
        <v>0</v>
      </c>
      <c r="O39" s="573">
        <v>0</v>
      </c>
      <c r="P39" s="574">
        <v>0</v>
      </c>
    </row>
    <row r="40" spans="2:16">
      <c r="B40" s="508" t="s">
        <v>145</v>
      </c>
      <c r="C40" s="509" t="s">
        <v>597</v>
      </c>
      <c r="D40" s="500">
        <f t="shared" si="1"/>
        <v>63.44</v>
      </c>
      <c r="E40" s="571">
        <v>0</v>
      </c>
      <c r="F40" s="502">
        <f t="shared" si="28"/>
        <v>63.44</v>
      </c>
      <c r="G40" s="308">
        <v>63.44</v>
      </c>
      <c r="H40" s="309">
        <v>0</v>
      </c>
      <c r="I40" s="572">
        <v>0</v>
      </c>
      <c r="J40" s="502">
        <f t="shared" si="29"/>
        <v>0</v>
      </c>
      <c r="K40" s="308">
        <v>0</v>
      </c>
      <c r="L40" s="309">
        <v>0</v>
      </c>
      <c r="M40" s="310">
        <v>0</v>
      </c>
      <c r="N40" s="571">
        <v>0</v>
      </c>
      <c r="O40" s="573">
        <v>0</v>
      </c>
      <c r="P40" s="574">
        <v>0</v>
      </c>
    </row>
    <row r="41" spans="2:16">
      <c r="B41" s="508" t="s">
        <v>608</v>
      </c>
      <c r="C41" s="509" t="s">
        <v>23</v>
      </c>
      <c r="D41" s="500">
        <f t="shared" si="1"/>
        <v>4237.8500000000004</v>
      </c>
      <c r="E41" s="571">
        <v>0</v>
      </c>
      <c r="F41" s="502">
        <f t="shared" si="28"/>
        <v>2372.37</v>
      </c>
      <c r="G41" s="308">
        <v>0</v>
      </c>
      <c r="H41" s="309">
        <v>0</v>
      </c>
      <c r="I41" s="572">
        <v>2372.37</v>
      </c>
      <c r="J41" s="502">
        <f t="shared" si="29"/>
        <v>1712.59</v>
      </c>
      <c r="K41" s="308">
        <v>1712.59</v>
      </c>
      <c r="L41" s="309">
        <v>0</v>
      </c>
      <c r="M41" s="310">
        <v>0</v>
      </c>
      <c r="N41" s="571">
        <v>0</v>
      </c>
      <c r="O41" s="573">
        <v>0</v>
      </c>
      <c r="P41" s="574">
        <v>152.88999999999999</v>
      </c>
    </row>
    <row r="42" spans="2:16" ht="38.25">
      <c r="B42" s="508" t="s">
        <v>609</v>
      </c>
      <c r="C42" s="509" t="s">
        <v>599</v>
      </c>
      <c r="D42" s="500">
        <f t="shared" si="1"/>
        <v>994.99</v>
      </c>
      <c r="E42" s="571">
        <v>0</v>
      </c>
      <c r="F42" s="502">
        <f t="shared" si="28"/>
        <v>386.21000000000004</v>
      </c>
      <c r="G42" s="308">
        <v>157.85</v>
      </c>
      <c r="H42" s="309">
        <v>15.64</v>
      </c>
      <c r="I42" s="572">
        <v>212.72</v>
      </c>
      <c r="J42" s="502">
        <f t="shared" si="29"/>
        <v>608.78</v>
      </c>
      <c r="K42" s="308">
        <v>485.23</v>
      </c>
      <c r="L42" s="309">
        <v>123.55</v>
      </c>
      <c r="M42" s="310">
        <v>0</v>
      </c>
      <c r="N42" s="571">
        <v>0</v>
      </c>
      <c r="O42" s="573">
        <v>0</v>
      </c>
      <c r="P42" s="574">
        <v>0</v>
      </c>
    </row>
    <row r="43" spans="2:16">
      <c r="B43" s="498" t="s">
        <v>302</v>
      </c>
      <c r="C43" s="523" t="s">
        <v>27</v>
      </c>
      <c r="D43" s="500">
        <f t="shared" si="1"/>
        <v>107.21</v>
      </c>
      <c r="E43" s="501">
        <f>SUM(E44:E45)</f>
        <v>2.61</v>
      </c>
      <c r="F43" s="502">
        <f t="shared" si="28"/>
        <v>88.27</v>
      </c>
      <c r="G43" s="503">
        <f>SUM(G44:G45)</f>
        <v>40.76</v>
      </c>
      <c r="H43" s="504">
        <f>SUM(H44:H45)</f>
        <v>28</v>
      </c>
      <c r="I43" s="505">
        <f>SUM(I44:I45)</f>
        <v>19.510000000000002</v>
      </c>
      <c r="J43" s="502">
        <f t="shared" si="29"/>
        <v>16.329999999999998</v>
      </c>
      <c r="K43" s="503">
        <f t="shared" ref="K43:P43" si="32">SUM(K44:K45)</f>
        <v>9.57</v>
      </c>
      <c r="L43" s="504">
        <f t="shared" si="32"/>
        <v>6.76</v>
      </c>
      <c r="M43" s="506">
        <f t="shared" si="32"/>
        <v>0</v>
      </c>
      <c r="N43" s="501">
        <f t="shared" si="32"/>
        <v>0</v>
      </c>
      <c r="O43" s="507">
        <f t="shared" si="32"/>
        <v>0</v>
      </c>
      <c r="P43" s="502">
        <f t="shared" si="32"/>
        <v>0</v>
      </c>
    </row>
    <row r="44" spans="2:16" ht="51.75">
      <c r="B44" s="508" t="s">
        <v>304</v>
      </c>
      <c r="C44" s="524" t="s">
        <v>29</v>
      </c>
      <c r="D44" s="500">
        <f t="shared" si="1"/>
        <v>107.21</v>
      </c>
      <c r="E44" s="571">
        <v>2.61</v>
      </c>
      <c r="F44" s="502">
        <f t="shared" si="28"/>
        <v>88.27</v>
      </c>
      <c r="G44" s="308">
        <v>40.76</v>
      </c>
      <c r="H44" s="309">
        <v>28</v>
      </c>
      <c r="I44" s="572">
        <v>19.510000000000002</v>
      </c>
      <c r="J44" s="502">
        <f t="shared" si="29"/>
        <v>16.329999999999998</v>
      </c>
      <c r="K44" s="308">
        <v>9.57</v>
      </c>
      <c r="L44" s="309">
        <v>6.76</v>
      </c>
      <c r="M44" s="310">
        <v>0</v>
      </c>
      <c r="N44" s="571">
        <v>0</v>
      </c>
      <c r="O44" s="573">
        <v>0</v>
      </c>
      <c r="P44" s="574">
        <v>0</v>
      </c>
    </row>
    <row r="45" spans="2:16">
      <c r="B45" s="508" t="s">
        <v>305</v>
      </c>
      <c r="C45" s="524" t="s">
        <v>31</v>
      </c>
      <c r="D45" s="500">
        <f t="shared" si="1"/>
        <v>0</v>
      </c>
      <c r="E45" s="571">
        <v>0</v>
      </c>
      <c r="F45" s="502">
        <f t="shared" si="28"/>
        <v>0</v>
      </c>
      <c r="G45" s="308">
        <v>0</v>
      </c>
      <c r="H45" s="309">
        <v>0</v>
      </c>
      <c r="I45" s="572">
        <v>0</v>
      </c>
      <c r="J45" s="502">
        <f t="shared" si="29"/>
        <v>0</v>
      </c>
      <c r="K45" s="308">
        <v>0</v>
      </c>
      <c r="L45" s="309">
        <v>0</v>
      </c>
      <c r="M45" s="310">
        <v>0</v>
      </c>
      <c r="N45" s="571">
        <v>0</v>
      </c>
      <c r="O45" s="573">
        <v>0</v>
      </c>
      <c r="P45" s="574">
        <v>0</v>
      </c>
    </row>
    <row r="46" spans="2:16">
      <c r="B46" s="498" t="s">
        <v>307</v>
      </c>
      <c r="C46" s="523" t="s">
        <v>33</v>
      </c>
      <c r="D46" s="500">
        <f t="shared" si="1"/>
        <v>7.05</v>
      </c>
      <c r="E46" s="501">
        <f>SUM(E47:E48)</f>
        <v>0</v>
      </c>
      <c r="F46" s="502">
        <f t="shared" si="28"/>
        <v>6.43</v>
      </c>
      <c r="G46" s="503">
        <f>SUM(G47:G48)</f>
        <v>2.48</v>
      </c>
      <c r="H46" s="504">
        <f>SUM(H47:H48)</f>
        <v>0.87</v>
      </c>
      <c r="I46" s="505">
        <f>SUM(I47:I48)</f>
        <v>3.08</v>
      </c>
      <c r="J46" s="502">
        <f t="shared" si="29"/>
        <v>0</v>
      </c>
      <c r="K46" s="503">
        <f t="shared" ref="K46:P46" si="33">SUM(K47:K48)</f>
        <v>0</v>
      </c>
      <c r="L46" s="504">
        <f t="shared" si="33"/>
        <v>0</v>
      </c>
      <c r="M46" s="506">
        <f t="shared" si="33"/>
        <v>0</v>
      </c>
      <c r="N46" s="501">
        <f t="shared" si="33"/>
        <v>0</v>
      </c>
      <c r="O46" s="507">
        <f t="shared" si="33"/>
        <v>0</v>
      </c>
      <c r="P46" s="502">
        <f t="shared" si="33"/>
        <v>0.62</v>
      </c>
    </row>
    <row r="47" spans="2:16">
      <c r="B47" s="508" t="s">
        <v>308</v>
      </c>
      <c r="C47" s="524" t="s">
        <v>600</v>
      </c>
      <c r="D47" s="500">
        <f t="shared" si="1"/>
        <v>0</v>
      </c>
      <c r="E47" s="575">
        <v>0</v>
      </c>
      <c r="F47" s="526">
        <f t="shared" si="28"/>
        <v>0</v>
      </c>
      <c r="G47" s="576">
        <v>0</v>
      </c>
      <c r="H47" s="577">
        <v>0</v>
      </c>
      <c r="I47" s="578">
        <v>0</v>
      </c>
      <c r="J47" s="526">
        <f t="shared" si="29"/>
        <v>0</v>
      </c>
      <c r="K47" s="576">
        <v>0</v>
      </c>
      <c r="L47" s="577">
        <v>0</v>
      </c>
      <c r="M47" s="579">
        <v>0</v>
      </c>
      <c r="N47" s="575">
        <v>0</v>
      </c>
      <c r="O47" s="573">
        <v>0</v>
      </c>
      <c r="P47" s="574">
        <v>0</v>
      </c>
    </row>
    <row r="48" spans="2:16" ht="26.25">
      <c r="B48" s="525" t="s">
        <v>308</v>
      </c>
      <c r="C48" s="580" t="s">
        <v>601</v>
      </c>
      <c r="D48" s="500">
        <f t="shared" si="1"/>
        <v>7.05</v>
      </c>
      <c r="E48" s="575">
        <v>0</v>
      </c>
      <c r="F48" s="526">
        <f t="shared" si="28"/>
        <v>6.43</v>
      </c>
      <c r="G48" s="576">
        <v>2.48</v>
      </c>
      <c r="H48" s="577">
        <v>0.87</v>
      </c>
      <c r="I48" s="578">
        <v>3.08</v>
      </c>
      <c r="J48" s="526">
        <f t="shared" si="29"/>
        <v>0</v>
      </c>
      <c r="K48" s="576">
        <v>0</v>
      </c>
      <c r="L48" s="577">
        <v>0</v>
      </c>
      <c r="M48" s="579">
        <v>0</v>
      </c>
      <c r="N48" s="575">
        <v>0</v>
      </c>
      <c r="O48" s="573">
        <v>0</v>
      </c>
      <c r="P48" s="574">
        <v>0.62</v>
      </c>
    </row>
    <row r="49" spans="2:17">
      <c r="B49" s="498" t="s">
        <v>312</v>
      </c>
      <c r="C49" s="535" t="s">
        <v>39</v>
      </c>
      <c r="D49" s="536">
        <f t="shared" si="1"/>
        <v>60.58</v>
      </c>
      <c r="E49" s="537">
        <f>SUM(E50:E51)</f>
        <v>22.07</v>
      </c>
      <c r="F49" s="538">
        <f t="shared" si="28"/>
        <v>0</v>
      </c>
      <c r="G49" s="539">
        <f>SUM(G50:G51)</f>
        <v>0</v>
      </c>
      <c r="H49" s="540">
        <f>SUM(H50:H51)</f>
        <v>0</v>
      </c>
      <c r="I49" s="541">
        <f>SUM(I50:I51)</f>
        <v>0</v>
      </c>
      <c r="J49" s="538">
        <f t="shared" si="29"/>
        <v>3.53</v>
      </c>
      <c r="K49" s="539">
        <f t="shared" ref="K49:P49" si="34">SUM(K50:K51)</f>
        <v>0</v>
      </c>
      <c r="L49" s="540">
        <f t="shared" si="34"/>
        <v>0</v>
      </c>
      <c r="M49" s="581">
        <f t="shared" si="34"/>
        <v>3.53</v>
      </c>
      <c r="N49" s="537">
        <f t="shared" si="34"/>
        <v>0</v>
      </c>
      <c r="O49" s="582">
        <f t="shared" si="34"/>
        <v>0</v>
      </c>
      <c r="P49" s="538">
        <f t="shared" si="34"/>
        <v>34.979999999999997</v>
      </c>
    </row>
    <row r="50" spans="2:17">
      <c r="B50" s="543" t="s">
        <v>314</v>
      </c>
      <c r="C50" s="544" t="s">
        <v>41</v>
      </c>
      <c r="D50" s="545">
        <f t="shared" si="1"/>
        <v>22.07</v>
      </c>
      <c r="E50" s="583">
        <v>22.07</v>
      </c>
      <c r="F50" s="546">
        <f t="shared" si="28"/>
        <v>0</v>
      </c>
      <c r="G50" s="584">
        <v>0</v>
      </c>
      <c r="H50" s="585">
        <v>0</v>
      </c>
      <c r="I50" s="586">
        <v>0</v>
      </c>
      <c r="J50" s="546">
        <f t="shared" si="29"/>
        <v>0</v>
      </c>
      <c r="K50" s="584">
        <v>0</v>
      </c>
      <c r="L50" s="585">
        <v>0</v>
      </c>
      <c r="M50" s="587">
        <v>0</v>
      </c>
      <c r="N50" s="583">
        <v>0</v>
      </c>
      <c r="O50" s="573">
        <v>0</v>
      </c>
      <c r="P50" s="574">
        <v>0</v>
      </c>
    </row>
    <row r="51" spans="2:17" ht="26.25">
      <c r="B51" s="543" t="s">
        <v>316</v>
      </c>
      <c r="C51" s="551" t="s">
        <v>43</v>
      </c>
      <c r="D51" s="536">
        <f t="shared" si="1"/>
        <v>38.51</v>
      </c>
      <c r="E51" s="588">
        <v>0</v>
      </c>
      <c r="F51" s="538">
        <f t="shared" si="28"/>
        <v>0</v>
      </c>
      <c r="G51" s="589">
        <v>0</v>
      </c>
      <c r="H51" s="590">
        <v>0</v>
      </c>
      <c r="I51" s="591">
        <v>0</v>
      </c>
      <c r="J51" s="538">
        <f t="shared" si="29"/>
        <v>3.53</v>
      </c>
      <c r="K51" s="589">
        <v>0</v>
      </c>
      <c r="L51" s="590">
        <v>0</v>
      </c>
      <c r="M51" s="592">
        <v>3.53</v>
      </c>
      <c r="N51" s="588">
        <v>0</v>
      </c>
      <c r="O51" s="573">
        <v>0</v>
      </c>
      <c r="P51" s="574">
        <v>34.979999999999997</v>
      </c>
    </row>
    <row r="52" spans="2:17">
      <c r="B52" s="554" t="s">
        <v>318</v>
      </c>
      <c r="C52" s="555" t="s">
        <v>602</v>
      </c>
      <c r="D52" s="536">
        <f t="shared" si="1"/>
        <v>0.51</v>
      </c>
      <c r="E52" s="537">
        <f>SUM(E53:E55)</f>
        <v>0.51</v>
      </c>
      <c r="F52" s="538">
        <f t="shared" si="28"/>
        <v>0</v>
      </c>
      <c r="G52" s="539">
        <f>SUM(G53:G55)</f>
        <v>0</v>
      </c>
      <c r="H52" s="540">
        <f>SUM(H53:H55)</f>
        <v>0</v>
      </c>
      <c r="I52" s="541">
        <f>SUM(I53:I55)</f>
        <v>0</v>
      </c>
      <c r="J52" s="538">
        <f t="shared" si="29"/>
        <v>0</v>
      </c>
      <c r="K52" s="539">
        <f t="shared" ref="K52:P52" si="35">SUM(K53:K55)</f>
        <v>0</v>
      </c>
      <c r="L52" s="540">
        <f t="shared" si="35"/>
        <v>0</v>
      </c>
      <c r="M52" s="581">
        <f t="shared" si="35"/>
        <v>0</v>
      </c>
      <c r="N52" s="537">
        <f t="shared" si="35"/>
        <v>0</v>
      </c>
      <c r="O52" s="582">
        <f t="shared" si="35"/>
        <v>0</v>
      </c>
      <c r="P52" s="538">
        <f t="shared" si="35"/>
        <v>0</v>
      </c>
    </row>
    <row r="53" spans="2:17">
      <c r="B53" s="556" t="s">
        <v>320</v>
      </c>
      <c r="C53" s="557" t="s">
        <v>603</v>
      </c>
      <c r="D53" s="536">
        <f t="shared" si="1"/>
        <v>0</v>
      </c>
      <c r="E53" s="588">
        <v>0</v>
      </c>
      <c r="F53" s="538">
        <f t="shared" si="28"/>
        <v>0</v>
      </c>
      <c r="G53" s="589">
        <v>0</v>
      </c>
      <c r="H53" s="590">
        <v>0</v>
      </c>
      <c r="I53" s="591">
        <v>0</v>
      </c>
      <c r="J53" s="538">
        <f t="shared" si="29"/>
        <v>0</v>
      </c>
      <c r="K53" s="589">
        <v>0</v>
      </c>
      <c r="L53" s="590">
        <v>0</v>
      </c>
      <c r="M53" s="592">
        <v>0</v>
      </c>
      <c r="N53" s="588">
        <v>0</v>
      </c>
      <c r="O53" s="573">
        <v>0</v>
      </c>
      <c r="P53" s="574">
        <v>0</v>
      </c>
    </row>
    <row r="54" spans="2:17">
      <c r="B54" s="556" t="s">
        <v>610</v>
      </c>
      <c r="C54" s="557" t="s">
        <v>603</v>
      </c>
      <c r="D54" s="536">
        <f t="shared" si="1"/>
        <v>0</v>
      </c>
      <c r="E54" s="588">
        <v>0</v>
      </c>
      <c r="F54" s="538">
        <f t="shared" si="28"/>
        <v>0</v>
      </c>
      <c r="G54" s="589">
        <v>0</v>
      </c>
      <c r="H54" s="590">
        <v>0</v>
      </c>
      <c r="I54" s="591">
        <v>0</v>
      </c>
      <c r="J54" s="538">
        <f t="shared" si="29"/>
        <v>0</v>
      </c>
      <c r="K54" s="589">
        <v>0</v>
      </c>
      <c r="L54" s="590">
        <v>0</v>
      </c>
      <c r="M54" s="592">
        <v>0</v>
      </c>
      <c r="N54" s="588">
        <v>0</v>
      </c>
      <c r="O54" s="573">
        <v>0</v>
      </c>
      <c r="P54" s="574">
        <v>0</v>
      </c>
    </row>
    <row r="55" spans="2:17" ht="15.75" thickBot="1">
      <c r="B55" s="559" t="s">
        <v>611</v>
      </c>
      <c r="C55" s="560" t="s">
        <v>603</v>
      </c>
      <c r="D55" s="561">
        <f t="shared" si="1"/>
        <v>0.51</v>
      </c>
      <c r="E55" s="593">
        <v>0.51</v>
      </c>
      <c r="F55" s="563">
        <f t="shared" si="28"/>
        <v>0</v>
      </c>
      <c r="G55" s="594">
        <v>0</v>
      </c>
      <c r="H55" s="595">
        <v>0</v>
      </c>
      <c r="I55" s="596">
        <v>0</v>
      </c>
      <c r="J55" s="563">
        <f t="shared" si="29"/>
        <v>0</v>
      </c>
      <c r="K55" s="594">
        <v>0</v>
      </c>
      <c r="L55" s="595">
        <v>0</v>
      </c>
      <c r="M55" s="597">
        <v>0</v>
      </c>
      <c r="N55" s="598">
        <v>0</v>
      </c>
      <c r="O55" s="599">
        <v>0</v>
      </c>
      <c r="P55" s="600">
        <v>0</v>
      </c>
    </row>
    <row r="56" spans="2:17" ht="16.5" thickTop="1" thickBot="1">
      <c r="B56" s="488" t="s">
        <v>59</v>
      </c>
      <c r="C56" s="489" t="s">
        <v>612</v>
      </c>
      <c r="D56" s="490">
        <f t="shared" ref="D56:P56" si="36">D57+D61+D66+D69+D72+D75</f>
        <v>396.28</v>
      </c>
      <c r="E56" s="491">
        <f t="shared" si="36"/>
        <v>0.41796</v>
      </c>
      <c r="F56" s="492">
        <f t="shared" si="36"/>
        <v>106.79121999999998</v>
      </c>
      <c r="G56" s="493">
        <f t="shared" si="36"/>
        <v>54.331941999999998</v>
      </c>
      <c r="H56" s="494">
        <f t="shared" si="36"/>
        <v>17.736639</v>
      </c>
      <c r="I56" s="495">
        <f t="shared" si="36"/>
        <v>34.722639000000001</v>
      </c>
      <c r="J56" s="492">
        <f t="shared" si="36"/>
        <v>38.654561000000001</v>
      </c>
      <c r="K56" s="493">
        <f t="shared" si="36"/>
        <v>2.7656209999999994</v>
      </c>
      <c r="L56" s="494">
        <f t="shared" si="36"/>
        <v>11.24915</v>
      </c>
      <c r="M56" s="496">
        <f t="shared" si="36"/>
        <v>24.639789999999998</v>
      </c>
      <c r="N56" s="491">
        <f t="shared" si="36"/>
        <v>0</v>
      </c>
      <c r="O56" s="497">
        <f t="shared" si="36"/>
        <v>0</v>
      </c>
      <c r="P56" s="492">
        <f t="shared" si="36"/>
        <v>250.416259</v>
      </c>
      <c r="Q56" s="601"/>
    </row>
    <row r="57" spans="2:17" ht="15.75" thickTop="1">
      <c r="B57" s="498" t="s">
        <v>150</v>
      </c>
      <c r="C57" s="499" t="s">
        <v>8</v>
      </c>
      <c r="D57" s="500">
        <f>SUM(D58:D60)</f>
        <v>0</v>
      </c>
      <c r="E57" s="501">
        <f>SUM(E58:E60)</f>
        <v>0</v>
      </c>
      <c r="F57" s="502">
        <f t="shared" ref="F57:F78" si="37">SUM(G57:I57)</f>
        <v>0</v>
      </c>
      <c r="G57" s="503">
        <f>SUM(G58:G60)</f>
        <v>0</v>
      </c>
      <c r="H57" s="504">
        <f>SUM(H58:H60)</f>
        <v>0</v>
      </c>
      <c r="I57" s="505">
        <f>SUM(I58:I60)</f>
        <v>0</v>
      </c>
      <c r="J57" s="502">
        <f t="shared" ref="J57:J78" si="38">SUM(K57:M57)</f>
        <v>0</v>
      </c>
      <c r="K57" s="503">
        <f t="shared" ref="K57:P57" si="39">SUM(K58:K60)</f>
        <v>0</v>
      </c>
      <c r="L57" s="504">
        <f t="shared" si="39"/>
        <v>0</v>
      </c>
      <c r="M57" s="506">
        <f t="shared" si="39"/>
        <v>0</v>
      </c>
      <c r="N57" s="501">
        <f t="shared" si="39"/>
        <v>0</v>
      </c>
      <c r="O57" s="507">
        <f t="shared" si="39"/>
        <v>0</v>
      </c>
      <c r="P57" s="502">
        <f t="shared" si="39"/>
        <v>0</v>
      </c>
    </row>
    <row r="58" spans="2:17">
      <c r="B58" s="508" t="s">
        <v>410</v>
      </c>
      <c r="C58" s="509" t="s">
        <v>10</v>
      </c>
      <c r="D58" s="602">
        <v>0</v>
      </c>
      <c r="E58" s="603">
        <f>IFERROR($D58*E80/100, 0)</f>
        <v>0</v>
      </c>
      <c r="F58" s="518">
        <f t="shared" si="37"/>
        <v>0</v>
      </c>
      <c r="G58" s="511">
        <f t="shared" ref="G58:I60" si="40">IFERROR($D58*G80/100, 0)</f>
        <v>0</v>
      </c>
      <c r="H58" s="512">
        <f t="shared" si="40"/>
        <v>0</v>
      </c>
      <c r="I58" s="604">
        <f t="shared" si="40"/>
        <v>0</v>
      </c>
      <c r="J58" s="518">
        <f t="shared" si="38"/>
        <v>0</v>
      </c>
      <c r="K58" s="511">
        <f t="shared" ref="K58:P60" si="41">IFERROR($D58*K80/100, 0)</f>
        <v>0</v>
      </c>
      <c r="L58" s="512">
        <f t="shared" si="41"/>
        <v>0</v>
      </c>
      <c r="M58" s="605">
        <f t="shared" si="41"/>
        <v>0</v>
      </c>
      <c r="N58" s="603">
        <f t="shared" si="41"/>
        <v>0</v>
      </c>
      <c r="O58" s="606">
        <f t="shared" si="41"/>
        <v>0</v>
      </c>
      <c r="P58" s="518">
        <f t="shared" si="41"/>
        <v>0</v>
      </c>
    </row>
    <row r="59" spans="2:17">
      <c r="B59" s="508" t="s">
        <v>411</v>
      </c>
      <c r="C59" s="509" t="s">
        <v>11</v>
      </c>
      <c r="D59" s="602">
        <v>0</v>
      </c>
      <c r="E59" s="603">
        <f>IFERROR($D59*E81/100, 0)</f>
        <v>0</v>
      </c>
      <c r="F59" s="518">
        <f t="shared" si="37"/>
        <v>0</v>
      </c>
      <c r="G59" s="511">
        <f t="shared" si="40"/>
        <v>0</v>
      </c>
      <c r="H59" s="512">
        <f t="shared" si="40"/>
        <v>0</v>
      </c>
      <c r="I59" s="604">
        <f t="shared" si="40"/>
        <v>0</v>
      </c>
      <c r="J59" s="518">
        <f t="shared" si="38"/>
        <v>0</v>
      </c>
      <c r="K59" s="511">
        <f t="shared" si="41"/>
        <v>0</v>
      </c>
      <c r="L59" s="512">
        <f t="shared" si="41"/>
        <v>0</v>
      </c>
      <c r="M59" s="605">
        <f t="shared" si="41"/>
        <v>0</v>
      </c>
      <c r="N59" s="603">
        <f t="shared" si="41"/>
        <v>0</v>
      </c>
      <c r="O59" s="606">
        <f t="shared" si="41"/>
        <v>0</v>
      </c>
      <c r="P59" s="518">
        <f t="shared" si="41"/>
        <v>0</v>
      </c>
    </row>
    <row r="60" spans="2:17">
      <c r="B60" s="508" t="s">
        <v>613</v>
      </c>
      <c r="C60" s="509" t="s">
        <v>13</v>
      </c>
      <c r="D60" s="602">
        <v>0</v>
      </c>
      <c r="E60" s="603">
        <f>IFERROR($D60*E82/100, 0)</f>
        <v>0</v>
      </c>
      <c r="F60" s="518">
        <f t="shared" si="37"/>
        <v>0</v>
      </c>
      <c r="G60" s="511">
        <f t="shared" si="40"/>
        <v>0</v>
      </c>
      <c r="H60" s="512">
        <f t="shared" si="40"/>
        <v>0</v>
      </c>
      <c r="I60" s="604">
        <f t="shared" si="40"/>
        <v>0</v>
      </c>
      <c r="J60" s="518">
        <f t="shared" si="38"/>
        <v>0</v>
      </c>
      <c r="K60" s="511">
        <f t="shared" si="41"/>
        <v>0</v>
      </c>
      <c r="L60" s="512">
        <f t="shared" si="41"/>
        <v>0</v>
      </c>
      <c r="M60" s="605">
        <f t="shared" si="41"/>
        <v>0</v>
      </c>
      <c r="N60" s="603">
        <f t="shared" si="41"/>
        <v>0</v>
      </c>
      <c r="O60" s="606">
        <f t="shared" si="41"/>
        <v>0</v>
      </c>
      <c r="P60" s="518">
        <f t="shared" si="41"/>
        <v>0</v>
      </c>
    </row>
    <row r="61" spans="2:17">
      <c r="B61" s="498" t="s">
        <v>152</v>
      </c>
      <c r="C61" s="519" t="s">
        <v>15</v>
      </c>
      <c r="D61" s="500">
        <f>SUM(D62:D65)</f>
        <v>38.07</v>
      </c>
      <c r="E61" s="501">
        <f>SUM(E62:E65)</f>
        <v>0</v>
      </c>
      <c r="F61" s="502">
        <f t="shared" si="37"/>
        <v>26.675649</v>
      </c>
      <c r="G61" s="503">
        <f>SUM(G62:G65)</f>
        <v>22.354704000000002</v>
      </c>
      <c r="H61" s="504">
        <f>SUM(H62:H65)</f>
        <v>4.320945</v>
      </c>
      <c r="I61" s="505">
        <f>SUM(I62:I65)</f>
        <v>0</v>
      </c>
      <c r="J61" s="502">
        <f t="shared" si="38"/>
        <v>11.394351</v>
      </c>
      <c r="K61" s="503">
        <f t="shared" ref="K61:P61" si="42">SUM(K62:K65)</f>
        <v>1.2296609999999999</v>
      </c>
      <c r="L61" s="504">
        <f t="shared" si="42"/>
        <v>10.16469</v>
      </c>
      <c r="M61" s="506">
        <f t="shared" si="42"/>
        <v>0</v>
      </c>
      <c r="N61" s="501">
        <f t="shared" si="42"/>
        <v>0</v>
      </c>
      <c r="O61" s="507">
        <f t="shared" si="42"/>
        <v>0</v>
      </c>
      <c r="P61" s="502">
        <f t="shared" si="42"/>
        <v>0</v>
      </c>
    </row>
    <row r="62" spans="2:17">
      <c r="B62" s="508" t="s">
        <v>154</v>
      </c>
      <c r="C62" s="509" t="s">
        <v>17</v>
      </c>
      <c r="D62" s="602">
        <v>38.07</v>
      </c>
      <c r="E62" s="603">
        <f>IFERROR($D62*E83/100, 0)</f>
        <v>0</v>
      </c>
      <c r="F62" s="518">
        <f t="shared" si="37"/>
        <v>26.675649</v>
      </c>
      <c r="G62" s="511">
        <f t="shared" ref="G62:I65" si="43">IFERROR($D62*G83/100, 0)</f>
        <v>22.354704000000002</v>
      </c>
      <c r="H62" s="512">
        <f t="shared" si="43"/>
        <v>4.320945</v>
      </c>
      <c r="I62" s="604">
        <f t="shared" si="43"/>
        <v>0</v>
      </c>
      <c r="J62" s="518">
        <f t="shared" si="38"/>
        <v>11.394351</v>
      </c>
      <c r="K62" s="511">
        <f t="shared" ref="K62:P65" si="44">IFERROR($D62*K83/100, 0)</f>
        <v>1.2296609999999999</v>
      </c>
      <c r="L62" s="512">
        <f t="shared" si="44"/>
        <v>10.16469</v>
      </c>
      <c r="M62" s="605">
        <f t="shared" si="44"/>
        <v>0</v>
      </c>
      <c r="N62" s="603">
        <f t="shared" si="44"/>
        <v>0</v>
      </c>
      <c r="O62" s="606">
        <f t="shared" si="44"/>
        <v>0</v>
      </c>
      <c r="P62" s="518">
        <f t="shared" si="44"/>
        <v>0</v>
      </c>
    </row>
    <row r="63" spans="2:17">
      <c r="B63" s="508" t="s">
        <v>156</v>
      </c>
      <c r="C63" s="509" t="s">
        <v>597</v>
      </c>
      <c r="D63" s="602">
        <v>0</v>
      </c>
      <c r="E63" s="603">
        <f>IFERROR($D63*E84/100, 0)</f>
        <v>0</v>
      </c>
      <c r="F63" s="518">
        <f t="shared" si="37"/>
        <v>0</v>
      </c>
      <c r="G63" s="511">
        <f t="shared" si="43"/>
        <v>0</v>
      </c>
      <c r="H63" s="512">
        <f t="shared" si="43"/>
        <v>0</v>
      </c>
      <c r="I63" s="604">
        <f t="shared" si="43"/>
        <v>0</v>
      </c>
      <c r="J63" s="518">
        <f t="shared" si="38"/>
        <v>0</v>
      </c>
      <c r="K63" s="511">
        <f t="shared" si="44"/>
        <v>0</v>
      </c>
      <c r="L63" s="512">
        <f t="shared" si="44"/>
        <v>0</v>
      </c>
      <c r="M63" s="605">
        <f t="shared" si="44"/>
        <v>0</v>
      </c>
      <c r="N63" s="603">
        <f t="shared" si="44"/>
        <v>0</v>
      </c>
      <c r="O63" s="606">
        <f t="shared" si="44"/>
        <v>0</v>
      </c>
      <c r="P63" s="518">
        <f t="shared" si="44"/>
        <v>0</v>
      </c>
    </row>
    <row r="64" spans="2:17">
      <c r="B64" s="508" t="s">
        <v>158</v>
      </c>
      <c r="C64" s="509" t="s">
        <v>23</v>
      </c>
      <c r="D64" s="602">
        <v>0</v>
      </c>
      <c r="E64" s="603">
        <f>IFERROR($D64*E85/100, 0)</f>
        <v>0</v>
      </c>
      <c r="F64" s="518">
        <f t="shared" si="37"/>
        <v>0</v>
      </c>
      <c r="G64" s="511">
        <f t="shared" si="43"/>
        <v>0</v>
      </c>
      <c r="H64" s="512">
        <f t="shared" si="43"/>
        <v>0</v>
      </c>
      <c r="I64" s="604">
        <f t="shared" si="43"/>
        <v>0</v>
      </c>
      <c r="J64" s="518">
        <f t="shared" si="38"/>
        <v>0</v>
      </c>
      <c r="K64" s="511">
        <f t="shared" si="44"/>
        <v>0</v>
      </c>
      <c r="L64" s="512">
        <f t="shared" si="44"/>
        <v>0</v>
      </c>
      <c r="M64" s="605">
        <f t="shared" si="44"/>
        <v>0</v>
      </c>
      <c r="N64" s="603">
        <f t="shared" si="44"/>
        <v>0</v>
      </c>
      <c r="O64" s="606">
        <f t="shared" si="44"/>
        <v>0</v>
      </c>
      <c r="P64" s="518">
        <f t="shared" si="44"/>
        <v>0</v>
      </c>
    </row>
    <row r="65" spans="2:16" ht="38.25">
      <c r="B65" s="508" t="s">
        <v>614</v>
      </c>
      <c r="C65" s="509" t="s">
        <v>599</v>
      </c>
      <c r="D65" s="602">
        <v>0</v>
      </c>
      <c r="E65" s="603">
        <f>IFERROR($D65*E86/100, 0)</f>
        <v>0</v>
      </c>
      <c r="F65" s="518">
        <f t="shared" si="37"/>
        <v>0</v>
      </c>
      <c r="G65" s="511">
        <f t="shared" si="43"/>
        <v>0</v>
      </c>
      <c r="H65" s="512">
        <f t="shared" si="43"/>
        <v>0</v>
      </c>
      <c r="I65" s="604">
        <f t="shared" si="43"/>
        <v>0</v>
      </c>
      <c r="J65" s="518">
        <f t="shared" si="38"/>
        <v>0</v>
      </c>
      <c r="K65" s="511">
        <f t="shared" si="44"/>
        <v>0</v>
      </c>
      <c r="L65" s="512">
        <f t="shared" si="44"/>
        <v>0</v>
      </c>
      <c r="M65" s="605">
        <f t="shared" si="44"/>
        <v>0</v>
      </c>
      <c r="N65" s="603">
        <f t="shared" si="44"/>
        <v>0</v>
      </c>
      <c r="O65" s="606">
        <f t="shared" si="44"/>
        <v>0</v>
      </c>
      <c r="P65" s="518">
        <f t="shared" si="44"/>
        <v>0</v>
      </c>
    </row>
    <row r="66" spans="2:16">
      <c r="B66" s="498" t="s">
        <v>160</v>
      </c>
      <c r="C66" s="523" t="s">
        <v>27</v>
      </c>
      <c r="D66" s="500">
        <f>D67+D68</f>
        <v>17.2</v>
      </c>
      <c r="E66" s="501">
        <f>E67+E68</f>
        <v>0.41796</v>
      </c>
      <c r="F66" s="502">
        <f t="shared" si="37"/>
        <v>14.161619999999999</v>
      </c>
      <c r="G66" s="503">
        <f>G67+G68</f>
        <v>6.5385799999999996</v>
      </c>
      <c r="H66" s="504">
        <f>H67+H68</f>
        <v>4.4926399999999997</v>
      </c>
      <c r="I66" s="505">
        <f>I67+I68</f>
        <v>3.1303999999999998</v>
      </c>
      <c r="J66" s="502">
        <f t="shared" si="38"/>
        <v>2.6204199999999993</v>
      </c>
      <c r="K66" s="503">
        <f t="shared" ref="K66:P66" si="45">K67+K68</f>
        <v>1.5359599999999998</v>
      </c>
      <c r="L66" s="504">
        <f t="shared" si="45"/>
        <v>1.0844599999999998</v>
      </c>
      <c r="M66" s="506">
        <f t="shared" si="45"/>
        <v>0</v>
      </c>
      <c r="N66" s="501">
        <f t="shared" si="45"/>
        <v>0</v>
      </c>
      <c r="O66" s="507">
        <f t="shared" si="45"/>
        <v>0</v>
      </c>
      <c r="P66" s="502">
        <f t="shared" si="45"/>
        <v>0</v>
      </c>
    </row>
    <row r="67" spans="2:16" ht="51.75">
      <c r="B67" s="508" t="s">
        <v>412</v>
      </c>
      <c r="C67" s="524" t="s">
        <v>29</v>
      </c>
      <c r="D67" s="602">
        <v>17.2</v>
      </c>
      <c r="E67" s="603">
        <f>IFERROR($D67*E87/100, 0)</f>
        <v>0.41796</v>
      </c>
      <c r="F67" s="518">
        <f t="shared" si="37"/>
        <v>14.161619999999999</v>
      </c>
      <c r="G67" s="511">
        <f t="shared" ref="G67:I68" si="46">IFERROR($D67*G87/100, 0)</f>
        <v>6.5385799999999996</v>
      </c>
      <c r="H67" s="512">
        <f t="shared" si="46"/>
        <v>4.4926399999999997</v>
      </c>
      <c r="I67" s="604">
        <f t="shared" si="46"/>
        <v>3.1303999999999998</v>
      </c>
      <c r="J67" s="518">
        <f t="shared" si="38"/>
        <v>2.6204199999999993</v>
      </c>
      <c r="K67" s="511">
        <f t="shared" ref="K67:P68" si="47">IFERROR($D67*K87/100, 0)</f>
        <v>1.5359599999999998</v>
      </c>
      <c r="L67" s="512">
        <f t="shared" si="47"/>
        <v>1.0844599999999998</v>
      </c>
      <c r="M67" s="605">
        <f t="shared" si="47"/>
        <v>0</v>
      </c>
      <c r="N67" s="603">
        <f t="shared" si="47"/>
        <v>0</v>
      </c>
      <c r="O67" s="606">
        <f t="shared" si="47"/>
        <v>0</v>
      </c>
      <c r="P67" s="518">
        <f t="shared" si="47"/>
        <v>0</v>
      </c>
    </row>
    <row r="68" spans="2:16">
      <c r="B68" s="508" t="s">
        <v>615</v>
      </c>
      <c r="C68" s="524" t="s">
        <v>31</v>
      </c>
      <c r="D68" s="602">
        <v>0</v>
      </c>
      <c r="E68" s="603">
        <f>IFERROR($D68*E88/100, 0)</f>
        <v>0</v>
      </c>
      <c r="F68" s="518">
        <f t="shared" si="37"/>
        <v>0</v>
      </c>
      <c r="G68" s="511">
        <f t="shared" si="46"/>
        <v>0</v>
      </c>
      <c r="H68" s="512">
        <f t="shared" si="46"/>
        <v>0</v>
      </c>
      <c r="I68" s="604">
        <f t="shared" si="46"/>
        <v>0</v>
      </c>
      <c r="J68" s="518">
        <f t="shared" si="38"/>
        <v>0</v>
      </c>
      <c r="K68" s="511">
        <f t="shared" si="47"/>
        <v>0</v>
      </c>
      <c r="L68" s="512">
        <f t="shared" si="47"/>
        <v>0</v>
      </c>
      <c r="M68" s="605">
        <f t="shared" si="47"/>
        <v>0</v>
      </c>
      <c r="N68" s="603">
        <f t="shared" si="47"/>
        <v>0</v>
      </c>
      <c r="O68" s="606">
        <f t="shared" si="47"/>
        <v>0</v>
      </c>
      <c r="P68" s="518">
        <f t="shared" si="47"/>
        <v>0</v>
      </c>
    </row>
    <row r="69" spans="2:16">
      <c r="B69" s="498" t="s">
        <v>162</v>
      </c>
      <c r="C69" s="523" t="s">
        <v>33</v>
      </c>
      <c r="D69" s="500">
        <f>D70+D71</f>
        <v>72.31</v>
      </c>
      <c r="E69" s="501">
        <f>E70+E71</f>
        <v>0</v>
      </c>
      <c r="F69" s="502">
        <f t="shared" si="37"/>
        <v>65.953950999999989</v>
      </c>
      <c r="G69" s="503">
        <f>G70+G71</f>
        <v>25.438658</v>
      </c>
      <c r="H69" s="504">
        <f>H70+H71</f>
        <v>8.9230540000000005</v>
      </c>
      <c r="I69" s="505">
        <f>I70+I71</f>
        <v>31.592238999999999</v>
      </c>
      <c r="J69" s="502">
        <f t="shared" si="38"/>
        <v>0</v>
      </c>
      <c r="K69" s="503">
        <f t="shared" ref="K69:P69" si="48">K70+K71</f>
        <v>0</v>
      </c>
      <c r="L69" s="504">
        <f t="shared" si="48"/>
        <v>0</v>
      </c>
      <c r="M69" s="506">
        <f t="shared" si="48"/>
        <v>0</v>
      </c>
      <c r="N69" s="501">
        <f t="shared" si="48"/>
        <v>0</v>
      </c>
      <c r="O69" s="507">
        <f t="shared" si="48"/>
        <v>0</v>
      </c>
      <c r="P69" s="502">
        <f t="shared" si="48"/>
        <v>6.3560489999999996</v>
      </c>
    </row>
    <row r="70" spans="2:16">
      <c r="B70" s="525" t="s">
        <v>413</v>
      </c>
      <c r="C70" s="524" t="s">
        <v>600</v>
      </c>
      <c r="D70" s="602">
        <v>0</v>
      </c>
      <c r="E70" s="603">
        <f>IFERROR($D70*E89/100, 0)</f>
        <v>0</v>
      </c>
      <c r="F70" s="518">
        <f t="shared" si="37"/>
        <v>0</v>
      </c>
      <c r="G70" s="511">
        <f t="shared" ref="G70:I71" si="49">IFERROR($D70*G89/100, 0)</f>
        <v>0</v>
      </c>
      <c r="H70" s="512">
        <f t="shared" si="49"/>
        <v>0</v>
      </c>
      <c r="I70" s="604">
        <f t="shared" si="49"/>
        <v>0</v>
      </c>
      <c r="J70" s="518">
        <f t="shared" si="38"/>
        <v>0</v>
      </c>
      <c r="K70" s="511">
        <f t="shared" ref="K70:P71" si="50">IFERROR($D70*K89/100, 0)</f>
        <v>0</v>
      </c>
      <c r="L70" s="512">
        <f t="shared" si="50"/>
        <v>0</v>
      </c>
      <c r="M70" s="605">
        <f t="shared" si="50"/>
        <v>0</v>
      </c>
      <c r="N70" s="603">
        <f t="shared" si="50"/>
        <v>0</v>
      </c>
      <c r="O70" s="606">
        <f t="shared" si="50"/>
        <v>0</v>
      </c>
      <c r="P70" s="518">
        <f t="shared" si="50"/>
        <v>0</v>
      </c>
    </row>
    <row r="71" spans="2:16" ht="26.25">
      <c r="B71" s="525" t="s">
        <v>414</v>
      </c>
      <c r="C71" s="580" t="s">
        <v>601</v>
      </c>
      <c r="D71" s="602">
        <v>72.31</v>
      </c>
      <c r="E71" s="603">
        <f>IFERROR($D71*E90/100, 0)</f>
        <v>0</v>
      </c>
      <c r="F71" s="518">
        <f t="shared" si="37"/>
        <v>65.953950999999989</v>
      </c>
      <c r="G71" s="511">
        <f t="shared" si="49"/>
        <v>25.438658</v>
      </c>
      <c r="H71" s="512">
        <f t="shared" si="49"/>
        <v>8.9230540000000005</v>
      </c>
      <c r="I71" s="604">
        <f t="shared" si="49"/>
        <v>31.592238999999999</v>
      </c>
      <c r="J71" s="518">
        <f t="shared" si="38"/>
        <v>0</v>
      </c>
      <c r="K71" s="511">
        <f t="shared" si="50"/>
        <v>0</v>
      </c>
      <c r="L71" s="512">
        <f t="shared" si="50"/>
        <v>0</v>
      </c>
      <c r="M71" s="605">
        <f t="shared" si="50"/>
        <v>0</v>
      </c>
      <c r="N71" s="603">
        <f t="shared" si="50"/>
        <v>0</v>
      </c>
      <c r="O71" s="606">
        <f t="shared" si="50"/>
        <v>0</v>
      </c>
      <c r="P71" s="518">
        <f t="shared" si="50"/>
        <v>6.3560489999999996</v>
      </c>
    </row>
    <row r="72" spans="2:16">
      <c r="B72" s="498" t="s">
        <v>418</v>
      </c>
      <c r="C72" s="535" t="s">
        <v>39</v>
      </c>
      <c r="D72" s="536">
        <f>D73+D74</f>
        <v>268.7</v>
      </c>
      <c r="E72" s="537">
        <f>E73+E74</f>
        <v>0</v>
      </c>
      <c r="F72" s="538">
        <f t="shared" si="37"/>
        <v>0</v>
      </c>
      <c r="G72" s="539">
        <f>G73+G74</f>
        <v>0</v>
      </c>
      <c r="H72" s="540">
        <f>H73+H74</f>
        <v>0</v>
      </c>
      <c r="I72" s="541">
        <f>I73+I74</f>
        <v>0</v>
      </c>
      <c r="J72" s="538">
        <f t="shared" si="38"/>
        <v>24.639789999999998</v>
      </c>
      <c r="K72" s="539">
        <f t="shared" ref="K72:P72" si="51">K73+K74</f>
        <v>0</v>
      </c>
      <c r="L72" s="540">
        <f t="shared" si="51"/>
        <v>0</v>
      </c>
      <c r="M72" s="581">
        <f t="shared" si="51"/>
        <v>24.639789999999998</v>
      </c>
      <c r="N72" s="537">
        <f t="shared" si="51"/>
        <v>0</v>
      </c>
      <c r="O72" s="582">
        <f t="shared" si="51"/>
        <v>0</v>
      </c>
      <c r="P72" s="538">
        <f t="shared" si="51"/>
        <v>244.06020999999998</v>
      </c>
    </row>
    <row r="73" spans="2:16">
      <c r="B73" s="543" t="s">
        <v>616</v>
      </c>
      <c r="C73" s="544" t="s">
        <v>41</v>
      </c>
      <c r="D73" s="607">
        <v>0</v>
      </c>
      <c r="E73" s="603">
        <f>IFERROR($D73*E91/100, 0)</f>
        <v>0</v>
      </c>
      <c r="F73" s="518">
        <f t="shared" si="37"/>
        <v>0</v>
      </c>
      <c r="G73" s="511">
        <f t="shared" ref="G73:I74" si="52">IFERROR($D73*G91/100, 0)</f>
        <v>0</v>
      </c>
      <c r="H73" s="512">
        <f t="shared" si="52"/>
        <v>0</v>
      </c>
      <c r="I73" s="604">
        <f t="shared" si="52"/>
        <v>0</v>
      </c>
      <c r="J73" s="518">
        <f t="shared" si="38"/>
        <v>0</v>
      </c>
      <c r="K73" s="511">
        <f t="shared" ref="K73:P74" si="53">IFERROR($D73*K91/100, 0)</f>
        <v>0</v>
      </c>
      <c r="L73" s="512">
        <f t="shared" si="53"/>
        <v>0</v>
      </c>
      <c r="M73" s="605">
        <f t="shared" si="53"/>
        <v>0</v>
      </c>
      <c r="N73" s="603">
        <f t="shared" si="53"/>
        <v>0</v>
      </c>
      <c r="O73" s="606">
        <f t="shared" si="53"/>
        <v>0</v>
      </c>
      <c r="P73" s="518">
        <f t="shared" si="53"/>
        <v>0</v>
      </c>
    </row>
    <row r="74" spans="2:16" ht="26.25">
      <c r="B74" s="543" t="s">
        <v>617</v>
      </c>
      <c r="C74" s="551" t="s">
        <v>43</v>
      </c>
      <c r="D74" s="608">
        <v>268.7</v>
      </c>
      <c r="E74" s="603">
        <f>IFERROR($D74*E92/100, 0)</f>
        <v>0</v>
      </c>
      <c r="F74" s="518">
        <f t="shared" si="37"/>
        <v>0</v>
      </c>
      <c r="G74" s="511">
        <f t="shared" si="52"/>
        <v>0</v>
      </c>
      <c r="H74" s="512">
        <f t="shared" si="52"/>
        <v>0</v>
      </c>
      <c r="I74" s="604">
        <f t="shared" si="52"/>
        <v>0</v>
      </c>
      <c r="J74" s="518">
        <f t="shared" si="38"/>
        <v>24.639789999999998</v>
      </c>
      <c r="K74" s="511">
        <f t="shared" si="53"/>
        <v>0</v>
      </c>
      <c r="L74" s="512">
        <f t="shared" si="53"/>
        <v>0</v>
      </c>
      <c r="M74" s="605">
        <f t="shared" si="53"/>
        <v>24.639789999999998</v>
      </c>
      <c r="N74" s="603">
        <f t="shared" si="53"/>
        <v>0</v>
      </c>
      <c r="O74" s="606">
        <f t="shared" si="53"/>
        <v>0</v>
      </c>
      <c r="P74" s="518">
        <f t="shared" si="53"/>
        <v>244.06020999999998</v>
      </c>
    </row>
    <row r="75" spans="2:16">
      <c r="B75" s="554" t="s">
        <v>419</v>
      </c>
      <c r="C75" s="555" t="s">
        <v>602</v>
      </c>
      <c r="D75" s="536">
        <f>SUM(D76:D78)</f>
        <v>0</v>
      </c>
      <c r="E75" s="609">
        <f>SUM(E76:E78)</f>
        <v>0</v>
      </c>
      <c r="F75" s="538">
        <f t="shared" si="37"/>
        <v>0</v>
      </c>
      <c r="G75" s="609">
        <f t="shared" ref="G75:I75" si="54">SUM(G76:G78)</f>
        <v>0</v>
      </c>
      <c r="H75" s="610">
        <f t="shared" si="54"/>
        <v>0</v>
      </c>
      <c r="I75" s="610">
        <f t="shared" si="54"/>
        <v>0</v>
      </c>
      <c r="J75" s="538">
        <f t="shared" si="38"/>
        <v>0</v>
      </c>
      <c r="K75" s="609">
        <f t="shared" ref="K75:P75" si="55">SUM(K76:K78)</f>
        <v>0</v>
      </c>
      <c r="L75" s="610">
        <f t="shared" si="55"/>
        <v>0</v>
      </c>
      <c r="M75" s="611">
        <f t="shared" si="55"/>
        <v>0</v>
      </c>
      <c r="N75" s="536">
        <f t="shared" si="55"/>
        <v>0</v>
      </c>
      <c r="O75" s="609">
        <f t="shared" si="55"/>
        <v>0</v>
      </c>
      <c r="P75" s="612">
        <f t="shared" si="55"/>
        <v>0</v>
      </c>
    </row>
    <row r="76" spans="2:16">
      <c r="B76" s="556" t="s">
        <v>420</v>
      </c>
      <c r="C76" s="557" t="s">
        <v>603</v>
      </c>
      <c r="D76" s="608">
        <v>0</v>
      </c>
      <c r="E76" s="603">
        <f>IFERROR($D76*E93/100, 0)</f>
        <v>0</v>
      </c>
      <c r="F76" s="518">
        <f t="shared" si="37"/>
        <v>0</v>
      </c>
      <c r="G76" s="511">
        <f t="shared" ref="G76:I78" si="56">IFERROR($D76*G93/100, 0)</f>
        <v>0</v>
      </c>
      <c r="H76" s="512">
        <f t="shared" si="56"/>
        <v>0</v>
      </c>
      <c r="I76" s="604">
        <f t="shared" si="56"/>
        <v>0</v>
      </c>
      <c r="J76" s="518">
        <f t="shared" si="38"/>
        <v>0</v>
      </c>
      <c r="K76" s="511">
        <f t="shared" ref="K76:P78" si="57">IFERROR($D76*K93/100, 0)</f>
        <v>0</v>
      </c>
      <c r="L76" s="512">
        <f t="shared" si="57"/>
        <v>0</v>
      </c>
      <c r="M76" s="605">
        <f t="shared" si="57"/>
        <v>0</v>
      </c>
      <c r="N76" s="603">
        <f t="shared" si="57"/>
        <v>0</v>
      </c>
      <c r="O76" s="606">
        <f t="shared" si="57"/>
        <v>0</v>
      </c>
      <c r="P76" s="518">
        <f t="shared" si="57"/>
        <v>0</v>
      </c>
    </row>
    <row r="77" spans="2:16">
      <c r="B77" s="543" t="s">
        <v>421</v>
      </c>
      <c r="C77" s="557" t="s">
        <v>603</v>
      </c>
      <c r="D77" s="608">
        <v>0</v>
      </c>
      <c r="E77" s="603">
        <f>IFERROR($D77*E94/100, 0)</f>
        <v>0</v>
      </c>
      <c r="F77" s="518">
        <f t="shared" si="37"/>
        <v>0</v>
      </c>
      <c r="G77" s="511">
        <f t="shared" si="56"/>
        <v>0</v>
      </c>
      <c r="H77" s="512">
        <f t="shared" si="56"/>
        <v>0</v>
      </c>
      <c r="I77" s="604">
        <f t="shared" si="56"/>
        <v>0</v>
      </c>
      <c r="J77" s="518">
        <f t="shared" si="38"/>
        <v>0</v>
      </c>
      <c r="K77" s="511">
        <f t="shared" si="57"/>
        <v>0</v>
      </c>
      <c r="L77" s="512">
        <f t="shared" si="57"/>
        <v>0</v>
      </c>
      <c r="M77" s="605">
        <f t="shared" si="57"/>
        <v>0</v>
      </c>
      <c r="N77" s="603">
        <f t="shared" si="57"/>
        <v>0</v>
      </c>
      <c r="O77" s="606">
        <f t="shared" si="57"/>
        <v>0</v>
      </c>
      <c r="P77" s="518">
        <f t="shared" si="57"/>
        <v>0</v>
      </c>
    </row>
    <row r="78" spans="2:16" ht="15.75" thickBot="1">
      <c r="B78" s="613" t="s">
        <v>422</v>
      </c>
      <c r="C78" s="560" t="s">
        <v>603</v>
      </c>
      <c r="D78" s="607">
        <v>0</v>
      </c>
      <c r="E78" s="614">
        <f>IFERROR($D78*E95/100, 0)</f>
        <v>0</v>
      </c>
      <c r="F78" s="615">
        <f t="shared" si="37"/>
        <v>0</v>
      </c>
      <c r="G78" s="616">
        <f t="shared" si="56"/>
        <v>0</v>
      </c>
      <c r="H78" s="617">
        <f t="shared" si="56"/>
        <v>0</v>
      </c>
      <c r="I78" s="618">
        <f t="shared" si="56"/>
        <v>0</v>
      </c>
      <c r="J78" s="619">
        <f t="shared" si="38"/>
        <v>0</v>
      </c>
      <c r="K78" s="616">
        <f t="shared" si="57"/>
        <v>0</v>
      </c>
      <c r="L78" s="617">
        <f t="shared" si="57"/>
        <v>0</v>
      </c>
      <c r="M78" s="620">
        <f t="shared" si="57"/>
        <v>0</v>
      </c>
      <c r="N78" s="621">
        <f t="shared" si="57"/>
        <v>0</v>
      </c>
      <c r="O78" s="622">
        <f t="shared" si="57"/>
        <v>0</v>
      </c>
      <c r="P78" s="619">
        <f t="shared" si="57"/>
        <v>0</v>
      </c>
    </row>
    <row r="79" spans="2:16" ht="66.75" customHeight="1" thickBot="1">
      <c r="B79" s="477" t="s">
        <v>63</v>
      </c>
      <c r="C79" s="484" t="s">
        <v>618</v>
      </c>
      <c r="D79" s="623" t="s">
        <v>255</v>
      </c>
      <c r="E79" s="486" t="s">
        <v>256</v>
      </c>
      <c r="F79" s="480" t="s">
        <v>257</v>
      </c>
      <c r="G79" s="624" t="s">
        <v>258</v>
      </c>
      <c r="H79" s="625" t="s">
        <v>259</v>
      </c>
      <c r="I79" s="626" t="s">
        <v>260</v>
      </c>
      <c r="J79" s="484" t="s">
        <v>261</v>
      </c>
      <c r="K79" s="624" t="s">
        <v>262</v>
      </c>
      <c r="L79" s="625" t="s">
        <v>263</v>
      </c>
      <c r="M79" s="627" t="s">
        <v>264</v>
      </c>
      <c r="N79" s="486" t="s">
        <v>619</v>
      </c>
      <c r="O79" s="487" t="s">
        <v>458</v>
      </c>
      <c r="P79" s="484" t="s">
        <v>459</v>
      </c>
    </row>
    <row r="80" spans="2:16">
      <c r="B80" s="628" t="s">
        <v>65</v>
      </c>
      <c r="C80" s="629" t="s">
        <v>620</v>
      </c>
      <c r="D80" s="630">
        <f t="shared" ref="D80:D95" si="58">E80+F80+J80+N80+O80+P80</f>
        <v>100</v>
      </c>
      <c r="E80" s="631">
        <v>100</v>
      </c>
      <c r="F80" s="632">
        <f t="shared" ref="F80:F95" si="59">SUM(G80:I80)</f>
        <v>0</v>
      </c>
      <c r="G80" s="633">
        <v>0</v>
      </c>
      <c r="H80" s="634">
        <v>0</v>
      </c>
      <c r="I80" s="635">
        <v>0</v>
      </c>
      <c r="J80" s="632">
        <f t="shared" ref="J80:J95" si="60">SUM(K80:M80)</f>
        <v>0</v>
      </c>
      <c r="K80" s="633">
        <v>0</v>
      </c>
      <c r="L80" s="634">
        <v>0</v>
      </c>
      <c r="M80" s="636">
        <v>0</v>
      </c>
      <c r="N80" s="637">
        <v>0</v>
      </c>
      <c r="O80" s="638">
        <v>0</v>
      </c>
      <c r="P80" s="639">
        <v>0</v>
      </c>
    </row>
    <row r="81" spans="2:17">
      <c r="B81" s="640" t="s">
        <v>69</v>
      </c>
      <c r="C81" s="641" t="s">
        <v>621</v>
      </c>
      <c r="D81" s="642">
        <f t="shared" si="58"/>
        <v>100</v>
      </c>
      <c r="E81" s="643">
        <v>100</v>
      </c>
      <c r="F81" s="644">
        <f t="shared" si="59"/>
        <v>0</v>
      </c>
      <c r="G81" s="645">
        <v>0</v>
      </c>
      <c r="H81" s="646">
        <v>0</v>
      </c>
      <c r="I81" s="647">
        <v>0</v>
      </c>
      <c r="J81" s="644">
        <f t="shared" si="60"/>
        <v>0</v>
      </c>
      <c r="K81" s="645">
        <v>0</v>
      </c>
      <c r="L81" s="646">
        <v>0</v>
      </c>
      <c r="M81" s="648">
        <v>0</v>
      </c>
      <c r="N81" s="649">
        <v>0</v>
      </c>
      <c r="O81" s="650">
        <v>0</v>
      </c>
      <c r="P81" s="651">
        <v>0</v>
      </c>
    </row>
    <row r="82" spans="2:17">
      <c r="B82" s="640" t="s">
        <v>71</v>
      </c>
      <c r="C82" s="641" t="s">
        <v>622</v>
      </c>
      <c r="D82" s="642">
        <f t="shared" si="58"/>
        <v>100</v>
      </c>
      <c r="E82" s="643">
        <v>100</v>
      </c>
      <c r="F82" s="644">
        <f t="shared" si="59"/>
        <v>0</v>
      </c>
      <c r="G82" s="645">
        <v>0</v>
      </c>
      <c r="H82" s="646">
        <v>0</v>
      </c>
      <c r="I82" s="647">
        <v>0</v>
      </c>
      <c r="J82" s="644">
        <f t="shared" si="60"/>
        <v>0</v>
      </c>
      <c r="K82" s="645">
        <v>0</v>
      </c>
      <c r="L82" s="646">
        <v>0</v>
      </c>
      <c r="M82" s="648">
        <v>0</v>
      </c>
      <c r="N82" s="649">
        <v>0</v>
      </c>
      <c r="O82" s="650">
        <v>0</v>
      </c>
      <c r="P82" s="651">
        <v>0</v>
      </c>
    </row>
    <row r="83" spans="2:17">
      <c r="B83" s="652" t="s">
        <v>73</v>
      </c>
      <c r="C83" s="641" t="s">
        <v>623</v>
      </c>
      <c r="D83" s="642">
        <f t="shared" si="58"/>
        <v>100</v>
      </c>
      <c r="E83" s="643">
        <v>0</v>
      </c>
      <c r="F83" s="644">
        <f t="shared" si="59"/>
        <v>70.069999999999993</v>
      </c>
      <c r="G83" s="645">
        <v>58.72</v>
      </c>
      <c r="H83" s="646">
        <v>11.35</v>
      </c>
      <c r="I83" s="647">
        <v>0</v>
      </c>
      <c r="J83" s="644">
        <f t="shared" si="60"/>
        <v>29.93</v>
      </c>
      <c r="K83" s="645">
        <v>3.23</v>
      </c>
      <c r="L83" s="646">
        <v>26.7</v>
      </c>
      <c r="M83" s="648">
        <v>0</v>
      </c>
      <c r="N83" s="649">
        <v>0</v>
      </c>
      <c r="O83" s="650">
        <v>0</v>
      </c>
      <c r="P83" s="651">
        <v>0</v>
      </c>
    </row>
    <row r="84" spans="2:17">
      <c r="B84" s="640" t="s">
        <v>75</v>
      </c>
      <c r="C84" s="641" t="s">
        <v>624</v>
      </c>
      <c r="D84" s="642">
        <f t="shared" si="58"/>
        <v>100</v>
      </c>
      <c r="E84" s="643">
        <v>0</v>
      </c>
      <c r="F84" s="644">
        <f t="shared" si="59"/>
        <v>100</v>
      </c>
      <c r="G84" s="645">
        <v>100</v>
      </c>
      <c r="H84" s="646">
        <v>0</v>
      </c>
      <c r="I84" s="647">
        <v>0</v>
      </c>
      <c r="J84" s="644">
        <f t="shared" si="60"/>
        <v>0</v>
      </c>
      <c r="K84" s="645">
        <v>0</v>
      </c>
      <c r="L84" s="646">
        <v>0</v>
      </c>
      <c r="M84" s="648">
        <v>0</v>
      </c>
      <c r="N84" s="649">
        <v>0</v>
      </c>
      <c r="O84" s="650">
        <v>0</v>
      </c>
      <c r="P84" s="651">
        <v>0</v>
      </c>
    </row>
    <row r="85" spans="2:17">
      <c r="B85" s="640" t="s">
        <v>466</v>
      </c>
      <c r="C85" s="641" t="s">
        <v>625</v>
      </c>
      <c r="D85" s="642">
        <f t="shared" si="58"/>
        <v>99.999999999999986</v>
      </c>
      <c r="E85" s="643">
        <v>0</v>
      </c>
      <c r="F85" s="644">
        <f t="shared" si="59"/>
        <v>55.98</v>
      </c>
      <c r="G85" s="645">
        <v>0</v>
      </c>
      <c r="H85" s="646">
        <v>0</v>
      </c>
      <c r="I85" s="647">
        <v>55.98</v>
      </c>
      <c r="J85" s="644">
        <f t="shared" si="60"/>
        <v>40.409999999999997</v>
      </c>
      <c r="K85" s="645">
        <v>40.409999999999997</v>
      </c>
      <c r="L85" s="646">
        <v>0</v>
      </c>
      <c r="M85" s="648">
        <v>0</v>
      </c>
      <c r="N85" s="649">
        <v>0</v>
      </c>
      <c r="O85" s="650">
        <v>0</v>
      </c>
      <c r="P85" s="651">
        <v>3.61</v>
      </c>
    </row>
    <row r="86" spans="2:17">
      <c r="B86" s="640" t="s">
        <v>470</v>
      </c>
      <c r="C86" s="641" t="s">
        <v>626</v>
      </c>
      <c r="D86" s="642">
        <f t="shared" si="58"/>
        <v>100</v>
      </c>
      <c r="E86" s="643">
        <v>0</v>
      </c>
      <c r="F86" s="644">
        <f t="shared" si="59"/>
        <v>38.814999999999998</v>
      </c>
      <c r="G86" s="645">
        <v>15.87</v>
      </c>
      <c r="H86" s="646">
        <v>1.57</v>
      </c>
      <c r="I86" s="647">
        <v>21.375</v>
      </c>
      <c r="J86" s="644">
        <f t="shared" si="60"/>
        <v>61.185000000000002</v>
      </c>
      <c r="K86" s="645">
        <v>48.765000000000001</v>
      </c>
      <c r="L86" s="646">
        <v>12.42</v>
      </c>
      <c r="M86" s="648">
        <v>0</v>
      </c>
      <c r="N86" s="649">
        <v>0</v>
      </c>
      <c r="O86" s="650">
        <v>0</v>
      </c>
      <c r="P86" s="651">
        <v>0</v>
      </c>
    </row>
    <row r="87" spans="2:17">
      <c r="B87" s="652" t="s">
        <v>474</v>
      </c>
      <c r="C87" s="641" t="s">
        <v>627</v>
      </c>
      <c r="D87" s="642">
        <f t="shared" si="58"/>
        <v>100.00000000000001</v>
      </c>
      <c r="E87" s="643">
        <v>2.4300000000000002</v>
      </c>
      <c r="F87" s="644">
        <f t="shared" si="59"/>
        <v>82.335000000000008</v>
      </c>
      <c r="G87" s="645">
        <v>38.015000000000001</v>
      </c>
      <c r="H87" s="646">
        <v>26.12</v>
      </c>
      <c r="I87" s="647">
        <v>18.2</v>
      </c>
      <c r="J87" s="644">
        <f t="shared" si="60"/>
        <v>15.234999999999999</v>
      </c>
      <c r="K87" s="645">
        <v>8.93</v>
      </c>
      <c r="L87" s="646">
        <v>6.3049999999999997</v>
      </c>
      <c r="M87" s="648">
        <v>0</v>
      </c>
      <c r="N87" s="649">
        <v>0</v>
      </c>
      <c r="O87" s="650">
        <v>0</v>
      </c>
      <c r="P87" s="651">
        <v>0</v>
      </c>
    </row>
    <row r="88" spans="2:17">
      <c r="B88" s="652" t="s">
        <v>478</v>
      </c>
      <c r="C88" s="641" t="s">
        <v>628</v>
      </c>
      <c r="D88" s="642">
        <f t="shared" si="58"/>
        <v>0</v>
      </c>
      <c r="E88" s="643">
        <v>0</v>
      </c>
      <c r="F88" s="644">
        <f t="shared" si="59"/>
        <v>0</v>
      </c>
      <c r="G88" s="645">
        <v>0</v>
      </c>
      <c r="H88" s="646">
        <v>0</v>
      </c>
      <c r="I88" s="647">
        <v>0</v>
      </c>
      <c r="J88" s="644">
        <f t="shared" si="60"/>
        <v>0</v>
      </c>
      <c r="K88" s="645">
        <v>0</v>
      </c>
      <c r="L88" s="646">
        <v>0</v>
      </c>
      <c r="M88" s="648">
        <v>0</v>
      </c>
      <c r="N88" s="649">
        <v>0</v>
      </c>
      <c r="O88" s="650">
        <v>0</v>
      </c>
      <c r="P88" s="651">
        <v>0</v>
      </c>
    </row>
    <row r="89" spans="2:17">
      <c r="B89" s="652" t="s">
        <v>494</v>
      </c>
      <c r="C89" s="641" t="s">
        <v>629</v>
      </c>
      <c r="D89" s="642">
        <f t="shared" si="58"/>
        <v>0</v>
      </c>
      <c r="E89" s="643">
        <v>0</v>
      </c>
      <c r="F89" s="644">
        <f t="shared" si="59"/>
        <v>0</v>
      </c>
      <c r="G89" s="645">
        <v>0</v>
      </c>
      <c r="H89" s="646">
        <v>0</v>
      </c>
      <c r="I89" s="647">
        <v>0</v>
      </c>
      <c r="J89" s="644">
        <f t="shared" si="60"/>
        <v>0</v>
      </c>
      <c r="K89" s="645">
        <v>0</v>
      </c>
      <c r="L89" s="646">
        <v>0</v>
      </c>
      <c r="M89" s="648">
        <v>0</v>
      </c>
      <c r="N89" s="649">
        <v>0</v>
      </c>
      <c r="O89" s="650">
        <v>0</v>
      </c>
      <c r="P89" s="651">
        <v>0</v>
      </c>
    </row>
    <row r="90" spans="2:17">
      <c r="B90" s="652" t="s">
        <v>495</v>
      </c>
      <c r="C90" s="641" t="s">
        <v>630</v>
      </c>
      <c r="D90" s="642">
        <f t="shared" si="58"/>
        <v>100</v>
      </c>
      <c r="E90" s="643">
        <v>0</v>
      </c>
      <c r="F90" s="644">
        <f t="shared" si="59"/>
        <v>91.21</v>
      </c>
      <c r="G90" s="645">
        <v>35.18</v>
      </c>
      <c r="H90" s="646">
        <v>12.34</v>
      </c>
      <c r="I90" s="647">
        <v>43.69</v>
      </c>
      <c r="J90" s="644">
        <f t="shared" si="60"/>
        <v>0</v>
      </c>
      <c r="K90" s="645">
        <v>0</v>
      </c>
      <c r="L90" s="646">
        <v>0</v>
      </c>
      <c r="M90" s="648">
        <v>0</v>
      </c>
      <c r="N90" s="649">
        <v>0</v>
      </c>
      <c r="O90" s="650">
        <v>0</v>
      </c>
      <c r="P90" s="651">
        <v>8.7899999999999991</v>
      </c>
    </row>
    <row r="91" spans="2:17">
      <c r="B91" s="652" t="s">
        <v>631</v>
      </c>
      <c r="C91" s="641" t="s">
        <v>632</v>
      </c>
      <c r="D91" s="642">
        <f t="shared" si="58"/>
        <v>100</v>
      </c>
      <c r="E91" s="643">
        <v>100</v>
      </c>
      <c r="F91" s="644">
        <f t="shared" si="59"/>
        <v>0</v>
      </c>
      <c r="G91" s="645">
        <v>0</v>
      </c>
      <c r="H91" s="646">
        <v>0</v>
      </c>
      <c r="I91" s="647">
        <v>0</v>
      </c>
      <c r="J91" s="644">
        <f t="shared" si="60"/>
        <v>0</v>
      </c>
      <c r="K91" s="645">
        <v>0</v>
      </c>
      <c r="L91" s="646">
        <v>0</v>
      </c>
      <c r="M91" s="648">
        <v>0</v>
      </c>
      <c r="N91" s="649">
        <v>0</v>
      </c>
      <c r="O91" s="650">
        <v>0</v>
      </c>
      <c r="P91" s="651">
        <v>0</v>
      </c>
    </row>
    <row r="92" spans="2:17">
      <c r="B92" s="652" t="s">
        <v>633</v>
      </c>
      <c r="C92" s="641" t="s">
        <v>634</v>
      </c>
      <c r="D92" s="642">
        <f t="shared" si="58"/>
        <v>100</v>
      </c>
      <c r="E92" s="643">
        <v>0</v>
      </c>
      <c r="F92" s="644">
        <f t="shared" si="59"/>
        <v>0</v>
      </c>
      <c r="G92" s="645">
        <v>0</v>
      </c>
      <c r="H92" s="646">
        <v>0</v>
      </c>
      <c r="I92" s="647">
        <v>0</v>
      </c>
      <c r="J92" s="644">
        <f t="shared" si="60"/>
        <v>9.17</v>
      </c>
      <c r="K92" s="645">
        <v>0</v>
      </c>
      <c r="L92" s="646">
        <v>0</v>
      </c>
      <c r="M92" s="648">
        <v>9.17</v>
      </c>
      <c r="N92" s="649">
        <v>0</v>
      </c>
      <c r="O92" s="650">
        <v>0</v>
      </c>
      <c r="P92" s="651">
        <v>90.83</v>
      </c>
    </row>
    <row r="93" spans="2:17">
      <c r="B93" s="640" t="s">
        <v>635</v>
      </c>
      <c r="C93" s="641" t="s">
        <v>636</v>
      </c>
      <c r="D93" s="642">
        <f t="shared" si="58"/>
        <v>0</v>
      </c>
      <c r="E93" s="643">
        <v>0</v>
      </c>
      <c r="F93" s="644">
        <f t="shared" si="59"/>
        <v>0</v>
      </c>
      <c r="G93" s="645">
        <v>0</v>
      </c>
      <c r="H93" s="646">
        <v>0</v>
      </c>
      <c r="I93" s="647">
        <v>0</v>
      </c>
      <c r="J93" s="644">
        <f t="shared" si="60"/>
        <v>0</v>
      </c>
      <c r="K93" s="645">
        <v>0</v>
      </c>
      <c r="L93" s="646">
        <v>0</v>
      </c>
      <c r="M93" s="648">
        <v>0</v>
      </c>
      <c r="N93" s="649">
        <v>0</v>
      </c>
      <c r="O93" s="650">
        <v>0</v>
      </c>
      <c r="P93" s="651">
        <v>0</v>
      </c>
    </row>
    <row r="94" spans="2:17">
      <c r="B94" s="652" t="s">
        <v>637</v>
      </c>
      <c r="C94" s="653" t="s">
        <v>638</v>
      </c>
      <c r="D94" s="654">
        <f t="shared" si="58"/>
        <v>0</v>
      </c>
      <c r="E94" s="655">
        <v>0</v>
      </c>
      <c r="F94" s="656">
        <f t="shared" si="59"/>
        <v>0</v>
      </c>
      <c r="G94" s="657">
        <v>0</v>
      </c>
      <c r="H94" s="658">
        <v>0</v>
      </c>
      <c r="I94" s="659">
        <v>0</v>
      </c>
      <c r="J94" s="656">
        <f t="shared" si="60"/>
        <v>0</v>
      </c>
      <c r="K94" s="657">
        <v>0</v>
      </c>
      <c r="L94" s="658">
        <v>0</v>
      </c>
      <c r="M94" s="660">
        <v>0</v>
      </c>
      <c r="N94" s="661">
        <v>0</v>
      </c>
      <c r="O94" s="662">
        <v>0</v>
      </c>
      <c r="P94" s="663">
        <v>0</v>
      </c>
    </row>
    <row r="95" spans="2:17" ht="15.75" thickBot="1">
      <c r="B95" s="664" t="s">
        <v>639</v>
      </c>
      <c r="C95" s="665" t="s">
        <v>640</v>
      </c>
      <c r="D95" s="666">
        <f t="shared" si="58"/>
        <v>100</v>
      </c>
      <c r="E95" s="667">
        <v>100</v>
      </c>
      <c r="F95" s="668">
        <f t="shared" si="59"/>
        <v>0</v>
      </c>
      <c r="G95" s="669">
        <v>0</v>
      </c>
      <c r="H95" s="670">
        <v>0</v>
      </c>
      <c r="I95" s="671">
        <v>0</v>
      </c>
      <c r="J95" s="668">
        <f t="shared" si="60"/>
        <v>0</v>
      </c>
      <c r="K95" s="669">
        <v>0</v>
      </c>
      <c r="L95" s="670">
        <v>0</v>
      </c>
      <c r="M95" s="672">
        <v>0</v>
      </c>
      <c r="N95" s="667">
        <v>0</v>
      </c>
      <c r="O95" s="673">
        <v>0</v>
      </c>
      <c r="P95" s="674">
        <v>0</v>
      </c>
    </row>
    <row r="96" spans="2:17" ht="16.5" thickTop="1" thickBot="1">
      <c r="B96" s="488" t="s">
        <v>77</v>
      </c>
      <c r="C96" s="489" t="s">
        <v>641</v>
      </c>
      <c r="D96" s="675">
        <f t="shared" ref="D96:P96" si="61">D97+D101+D106+D108+D111+D114</f>
        <v>50.740000000000009</v>
      </c>
      <c r="E96" s="676">
        <f t="shared" si="61"/>
        <v>1.3175340438871472</v>
      </c>
      <c r="F96" s="677">
        <f t="shared" si="61"/>
        <v>36.546902826388184</v>
      </c>
      <c r="G96" s="678">
        <f t="shared" si="61"/>
        <v>26.689068216126298</v>
      </c>
      <c r="H96" s="679">
        <f t="shared" si="61"/>
        <v>6.4532493641255311</v>
      </c>
      <c r="I96" s="680">
        <f t="shared" si="61"/>
        <v>3.4045852461363517</v>
      </c>
      <c r="J96" s="677">
        <f t="shared" si="61"/>
        <v>12.382422569114816</v>
      </c>
      <c r="K96" s="678">
        <f t="shared" si="61"/>
        <v>1.7183517683791014</v>
      </c>
      <c r="L96" s="679">
        <f t="shared" si="61"/>
        <v>10.664070800735715</v>
      </c>
      <c r="M96" s="681">
        <f t="shared" si="61"/>
        <v>0</v>
      </c>
      <c r="N96" s="676">
        <f t="shared" si="61"/>
        <v>0</v>
      </c>
      <c r="O96" s="682">
        <f t="shared" si="61"/>
        <v>0</v>
      </c>
      <c r="P96" s="677">
        <f t="shared" si="61"/>
        <v>0.49314056060987888</v>
      </c>
      <c r="Q96" s="601"/>
    </row>
    <row r="97" spans="2:16" ht="15.75" thickTop="1">
      <c r="B97" s="498" t="s">
        <v>497</v>
      </c>
      <c r="C97" s="499" t="s">
        <v>8</v>
      </c>
      <c r="D97" s="683">
        <f>SUM(D98:D100)</f>
        <v>0.95</v>
      </c>
      <c r="E97" s="684">
        <f>SUM(E98:E100)</f>
        <v>0.95</v>
      </c>
      <c r="F97" s="685">
        <f t="shared" ref="F97:F117" si="62">SUM(G97:I97)</f>
        <v>0</v>
      </c>
      <c r="G97" s="686">
        <f>SUM(G98:G100)</f>
        <v>0</v>
      </c>
      <c r="H97" s="687">
        <f>SUM(H98:H100)</f>
        <v>0</v>
      </c>
      <c r="I97" s="688">
        <f>SUM(I98:I100)</f>
        <v>0</v>
      </c>
      <c r="J97" s="685">
        <f t="shared" ref="J97:J117" si="63">SUM(K97:M97)</f>
        <v>0</v>
      </c>
      <c r="K97" s="686">
        <f t="shared" ref="K97:P97" si="64">SUM(K98:K100)</f>
        <v>0</v>
      </c>
      <c r="L97" s="687">
        <f t="shared" si="64"/>
        <v>0</v>
      </c>
      <c r="M97" s="689">
        <f t="shared" si="64"/>
        <v>0</v>
      </c>
      <c r="N97" s="684">
        <f t="shared" si="64"/>
        <v>0</v>
      </c>
      <c r="O97" s="690">
        <f t="shared" si="64"/>
        <v>0</v>
      </c>
      <c r="P97" s="685">
        <f t="shared" si="64"/>
        <v>0</v>
      </c>
    </row>
    <row r="98" spans="2:16">
      <c r="B98" s="508" t="s">
        <v>498</v>
      </c>
      <c r="C98" s="509" t="s">
        <v>10</v>
      </c>
      <c r="D98" s="691">
        <v>0.95</v>
      </c>
      <c r="E98" s="692">
        <f>IFERROR($D98*E119/100, 0)</f>
        <v>0.95</v>
      </c>
      <c r="F98" s="693">
        <f t="shared" si="62"/>
        <v>0</v>
      </c>
      <c r="G98" s="694">
        <f t="shared" ref="G98:I100" si="65">IFERROR($D98*G119/100, 0)</f>
        <v>0</v>
      </c>
      <c r="H98" s="695">
        <f t="shared" si="65"/>
        <v>0</v>
      </c>
      <c r="I98" s="696">
        <f t="shared" si="65"/>
        <v>0</v>
      </c>
      <c r="J98" s="693">
        <f t="shared" si="63"/>
        <v>0</v>
      </c>
      <c r="K98" s="694">
        <f t="shared" ref="K98:P100" si="66">IFERROR($D98*K119/100, 0)</f>
        <v>0</v>
      </c>
      <c r="L98" s="695">
        <f t="shared" si="66"/>
        <v>0</v>
      </c>
      <c r="M98" s="697">
        <f t="shared" si="66"/>
        <v>0</v>
      </c>
      <c r="N98" s="692">
        <f t="shared" si="66"/>
        <v>0</v>
      </c>
      <c r="O98" s="698">
        <f t="shared" si="66"/>
        <v>0</v>
      </c>
      <c r="P98" s="693">
        <f t="shared" si="66"/>
        <v>0</v>
      </c>
    </row>
    <row r="99" spans="2:16">
      <c r="B99" s="508" t="s">
        <v>642</v>
      </c>
      <c r="C99" s="509" t="s">
        <v>11</v>
      </c>
      <c r="D99" s="691">
        <v>0</v>
      </c>
      <c r="E99" s="692">
        <f>IFERROR($D99*E120/100, 0)</f>
        <v>0</v>
      </c>
      <c r="F99" s="693">
        <f t="shared" si="62"/>
        <v>0</v>
      </c>
      <c r="G99" s="694">
        <f t="shared" si="65"/>
        <v>0</v>
      </c>
      <c r="H99" s="695">
        <f t="shared" si="65"/>
        <v>0</v>
      </c>
      <c r="I99" s="696">
        <f t="shared" si="65"/>
        <v>0</v>
      </c>
      <c r="J99" s="693">
        <f t="shared" si="63"/>
        <v>0</v>
      </c>
      <c r="K99" s="694">
        <f t="shared" si="66"/>
        <v>0</v>
      </c>
      <c r="L99" s="695">
        <f t="shared" si="66"/>
        <v>0</v>
      </c>
      <c r="M99" s="697">
        <f t="shared" si="66"/>
        <v>0</v>
      </c>
      <c r="N99" s="692">
        <f t="shared" si="66"/>
        <v>0</v>
      </c>
      <c r="O99" s="698">
        <f t="shared" si="66"/>
        <v>0</v>
      </c>
      <c r="P99" s="693">
        <f t="shared" si="66"/>
        <v>0</v>
      </c>
    </row>
    <row r="100" spans="2:16">
      <c r="B100" s="508" t="s">
        <v>643</v>
      </c>
      <c r="C100" s="509" t="s">
        <v>13</v>
      </c>
      <c r="D100" s="691">
        <v>0</v>
      </c>
      <c r="E100" s="692">
        <f>IFERROR($D100*E121/100, 0)</f>
        <v>0</v>
      </c>
      <c r="F100" s="693">
        <f t="shared" si="62"/>
        <v>0</v>
      </c>
      <c r="G100" s="694">
        <f t="shared" si="65"/>
        <v>0</v>
      </c>
      <c r="H100" s="695">
        <f t="shared" si="65"/>
        <v>0</v>
      </c>
      <c r="I100" s="696">
        <f t="shared" si="65"/>
        <v>0</v>
      </c>
      <c r="J100" s="693">
        <f t="shared" si="63"/>
        <v>0</v>
      </c>
      <c r="K100" s="694">
        <f t="shared" si="66"/>
        <v>0</v>
      </c>
      <c r="L100" s="695">
        <f t="shared" si="66"/>
        <v>0</v>
      </c>
      <c r="M100" s="697">
        <f t="shared" si="66"/>
        <v>0</v>
      </c>
      <c r="N100" s="692">
        <f t="shared" si="66"/>
        <v>0</v>
      </c>
      <c r="O100" s="698">
        <f t="shared" si="66"/>
        <v>0</v>
      </c>
      <c r="P100" s="693">
        <f t="shared" si="66"/>
        <v>0</v>
      </c>
    </row>
    <row r="101" spans="2:16">
      <c r="B101" s="498" t="s">
        <v>171</v>
      </c>
      <c r="C101" s="519" t="s">
        <v>15</v>
      </c>
      <c r="D101" s="683">
        <f>SUM(D102:D105)</f>
        <v>38.700000000000003</v>
      </c>
      <c r="E101" s="684">
        <f>SUM(E102:E105)</f>
        <v>0</v>
      </c>
      <c r="F101" s="685">
        <f t="shared" si="62"/>
        <v>27.115746394794861</v>
      </c>
      <c r="G101" s="686">
        <f>SUM(G102:G105)</f>
        <v>22.723324181045051</v>
      </c>
      <c r="H101" s="687">
        <f>SUM(H102:H105)</f>
        <v>4.3924222137498097</v>
      </c>
      <c r="I101" s="688">
        <f>SUM(I102:I105)</f>
        <v>0</v>
      </c>
      <c r="J101" s="685">
        <f t="shared" si="63"/>
        <v>11.584253605205161</v>
      </c>
      <c r="K101" s="686">
        <f t="shared" ref="K101:P101" si="67">SUM(K102:K105)</f>
        <v>1.2505820521183504</v>
      </c>
      <c r="L101" s="687">
        <f t="shared" si="67"/>
        <v>10.333671553086811</v>
      </c>
      <c r="M101" s="689">
        <f t="shared" si="67"/>
        <v>0</v>
      </c>
      <c r="N101" s="684">
        <f t="shared" si="67"/>
        <v>0</v>
      </c>
      <c r="O101" s="690">
        <f t="shared" si="67"/>
        <v>0</v>
      </c>
      <c r="P101" s="685">
        <f t="shared" si="67"/>
        <v>0</v>
      </c>
    </row>
    <row r="102" spans="2:16">
      <c r="B102" s="508" t="s">
        <v>500</v>
      </c>
      <c r="C102" s="509" t="s">
        <v>17</v>
      </c>
      <c r="D102" s="691">
        <v>38.700000000000003</v>
      </c>
      <c r="E102" s="692">
        <f>IFERROR($D102*E122/100, 0)</f>
        <v>0</v>
      </c>
      <c r="F102" s="693">
        <f t="shared" si="62"/>
        <v>27.115746394794861</v>
      </c>
      <c r="G102" s="694">
        <f t="shared" ref="G102:I105" si="68">IFERROR($D102*G122/100, 0)</f>
        <v>22.723324181045051</v>
      </c>
      <c r="H102" s="695">
        <f t="shared" si="68"/>
        <v>4.3924222137498097</v>
      </c>
      <c r="I102" s="696">
        <f t="shared" si="68"/>
        <v>0</v>
      </c>
      <c r="J102" s="693">
        <f t="shared" si="63"/>
        <v>11.584253605205161</v>
      </c>
      <c r="K102" s="694">
        <f t="shared" ref="K102:P105" si="69">IFERROR($D102*K122/100, 0)</f>
        <v>1.2505820521183504</v>
      </c>
      <c r="L102" s="695">
        <f t="shared" si="69"/>
        <v>10.333671553086811</v>
      </c>
      <c r="M102" s="697">
        <f t="shared" si="69"/>
        <v>0</v>
      </c>
      <c r="N102" s="692">
        <f t="shared" si="69"/>
        <v>0</v>
      </c>
      <c r="O102" s="698">
        <f t="shared" si="69"/>
        <v>0</v>
      </c>
      <c r="P102" s="693">
        <f t="shared" si="69"/>
        <v>0</v>
      </c>
    </row>
    <row r="103" spans="2:16">
      <c r="B103" s="508" t="s">
        <v>502</v>
      </c>
      <c r="C103" s="509" t="s">
        <v>597</v>
      </c>
      <c r="D103" s="691">
        <v>0</v>
      </c>
      <c r="E103" s="692">
        <f>IFERROR($D103*E123/100, 0)</f>
        <v>0</v>
      </c>
      <c r="F103" s="693">
        <f t="shared" si="62"/>
        <v>0</v>
      </c>
      <c r="G103" s="694">
        <f t="shared" si="68"/>
        <v>0</v>
      </c>
      <c r="H103" s="695">
        <f t="shared" si="68"/>
        <v>0</v>
      </c>
      <c r="I103" s="696">
        <f t="shared" si="68"/>
        <v>0</v>
      </c>
      <c r="J103" s="693">
        <f t="shared" si="63"/>
        <v>0</v>
      </c>
      <c r="K103" s="694">
        <f t="shared" si="69"/>
        <v>0</v>
      </c>
      <c r="L103" s="695">
        <f t="shared" si="69"/>
        <v>0</v>
      </c>
      <c r="M103" s="697">
        <f t="shared" si="69"/>
        <v>0</v>
      </c>
      <c r="N103" s="692">
        <f t="shared" si="69"/>
        <v>0</v>
      </c>
      <c r="O103" s="698">
        <f t="shared" si="69"/>
        <v>0</v>
      </c>
      <c r="P103" s="693">
        <f t="shared" si="69"/>
        <v>0</v>
      </c>
    </row>
    <row r="104" spans="2:16">
      <c r="B104" s="508" t="s">
        <v>644</v>
      </c>
      <c r="C104" s="509" t="s">
        <v>23</v>
      </c>
      <c r="D104" s="691">
        <v>0</v>
      </c>
      <c r="E104" s="692">
        <f>IFERROR($D104*E124/100, 0)</f>
        <v>0</v>
      </c>
      <c r="F104" s="693">
        <f t="shared" si="62"/>
        <v>0</v>
      </c>
      <c r="G104" s="694">
        <f t="shared" si="68"/>
        <v>0</v>
      </c>
      <c r="H104" s="695">
        <f t="shared" si="68"/>
        <v>0</v>
      </c>
      <c r="I104" s="696">
        <f t="shared" si="68"/>
        <v>0</v>
      </c>
      <c r="J104" s="693">
        <f t="shared" si="63"/>
        <v>0</v>
      </c>
      <c r="K104" s="694">
        <f t="shared" si="69"/>
        <v>0</v>
      </c>
      <c r="L104" s="695">
        <f t="shared" si="69"/>
        <v>0</v>
      </c>
      <c r="M104" s="697">
        <f t="shared" si="69"/>
        <v>0</v>
      </c>
      <c r="N104" s="692">
        <f t="shared" si="69"/>
        <v>0</v>
      </c>
      <c r="O104" s="698">
        <f t="shared" si="69"/>
        <v>0</v>
      </c>
      <c r="P104" s="693">
        <f t="shared" si="69"/>
        <v>0</v>
      </c>
    </row>
    <row r="105" spans="2:16">
      <c r="B105" s="508" t="s">
        <v>645</v>
      </c>
      <c r="C105" s="509" t="s">
        <v>646</v>
      </c>
      <c r="D105" s="691">
        <v>0</v>
      </c>
      <c r="E105" s="692">
        <f>IFERROR($D105*E125/100, 0)</f>
        <v>0</v>
      </c>
      <c r="F105" s="693">
        <f t="shared" si="62"/>
        <v>0</v>
      </c>
      <c r="G105" s="694">
        <f t="shared" si="68"/>
        <v>0</v>
      </c>
      <c r="H105" s="695">
        <f t="shared" si="68"/>
        <v>0</v>
      </c>
      <c r="I105" s="696">
        <f t="shared" si="68"/>
        <v>0</v>
      </c>
      <c r="J105" s="693">
        <f t="shared" si="63"/>
        <v>0</v>
      </c>
      <c r="K105" s="694">
        <f t="shared" si="69"/>
        <v>0</v>
      </c>
      <c r="L105" s="695">
        <f t="shared" si="69"/>
        <v>0</v>
      </c>
      <c r="M105" s="697">
        <f t="shared" si="69"/>
        <v>0</v>
      </c>
      <c r="N105" s="692">
        <f t="shared" si="69"/>
        <v>0</v>
      </c>
      <c r="O105" s="698">
        <f t="shared" si="69"/>
        <v>0</v>
      </c>
      <c r="P105" s="693">
        <f t="shared" si="69"/>
        <v>0</v>
      </c>
    </row>
    <row r="106" spans="2:16">
      <c r="B106" s="498" t="s">
        <v>173</v>
      </c>
      <c r="C106" s="523" t="s">
        <v>27</v>
      </c>
      <c r="D106" s="683">
        <f>D107</f>
        <v>5.24</v>
      </c>
      <c r="E106" s="684">
        <f>E107</f>
        <v>0.12753404388714731</v>
      </c>
      <c r="F106" s="685">
        <f t="shared" si="62"/>
        <v>4.3142969922031966</v>
      </c>
      <c r="G106" s="686">
        <f>G107</f>
        <v>1.9921594662808468</v>
      </c>
      <c r="H106" s="687">
        <f>H107</f>
        <v>1.3685510296599928</v>
      </c>
      <c r="I106" s="688">
        <f>I107</f>
        <v>0.95358649626235714</v>
      </c>
      <c r="J106" s="685">
        <f t="shared" si="63"/>
        <v>0.79816896390965408</v>
      </c>
      <c r="K106" s="686">
        <f t="shared" ref="K106:P106" si="70">K107</f>
        <v>0.46776971626075103</v>
      </c>
      <c r="L106" s="687">
        <f t="shared" si="70"/>
        <v>0.3303992476489031</v>
      </c>
      <c r="M106" s="689">
        <f t="shared" si="70"/>
        <v>0</v>
      </c>
      <c r="N106" s="684">
        <f t="shared" si="70"/>
        <v>0</v>
      </c>
      <c r="O106" s="690">
        <f t="shared" si="70"/>
        <v>0</v>
      </c>
      <c r="P106" s="685">
        <f t="shared" si="70"/>
        <v>0</v>
      </c>
    </row>
    <row r="107" spans="2:16">
      <c r="B107" s="508" t="s">
        <v>503</v>
      </c>
      <c r="C107" s="524" t="s">
        <v>647</v>
      </c>
      <c r="D107" s="691">
        <v>5.24</v>
      </c>
      <c r="E107" s="692">
        <f>IFERROR($D107*E126/100, 0)</f>
        <v>0.12753404388714731</v>
      </c>
      <c r="F107" s="693">
        <f t="shared" si="62"/>
        <v>4.3142969922031966</v>
      </c>
      <c r="G107" s="694">
        <f>IFERROR($D107*G126/100, 0)</f>
        <v>1.9921594662808468</v>
      </c>
      <c r="H107" s="695">
        <f>IFERROR($D107*H126/100, 0)</f>
        <v>1.3685510296599928</v>
      </c>
      <c r="I107" s="696">
        <f>IFERROR($D107*I126/100, 0)</f>
        <v>0.95358649626235714</v>
      </c>
      <c r="J107" s="693">
        <f t="shared" si="63"/>
        <v>0.79816896390965408</v>
      </c>
      <c r="K107" s="694">
        <f t="shared" ref="K107:P107" si="71">IFERROR($D107*K126/100, 0)</f>
        <v>0.46776971626075103</v>
      </c>
      <c r="L107" s="695">
        <f t="shared" si="71"/>
        <v>0.3303992476489031</v>
      </c>
      <c r="M107" s="697">
        <f t="shared" si="71"/>
        <v>0</v>
      </c>
      <c r="N107" s="692">
        <f t="shared" si="71"/>
        <v>0</v>
      </c>
      <c r="O107" s="698">
        <f t="shared" si="71"/>
        <v>0</v>
      </c>
      <c r="P107" s="693">
        <f t="shared" si="71"/>
        <v>0</v>
      </c>
    </row>
    <row r="108" spans="2:16">
      <c r="B108" s="498" t="s">
        <v>175</v>
      </c>
      <c r="C108" s="523" t="s">
        <v>33</v>
      </c>
      <c r="D108" s="683">
        <f>D109+D110</f>
        <v>5.61</v>
      </c>
      <c r="E108" s="684">
        <f>E109+E110</f>
        <v>0</v>
      </c>
      <c r="F108" s="685">
        <f t="shared" si="62"/>
        <v>5.1168594393901259</v>
      </c>
      <c r="G108" s="686">
        <f>G109+G110</f>
        <v>1.9735845688004026</v>
      </c>
      <c r="H108" s="687">
        <f>H109+H110</f>
        <v>0.69227612071572853</v>
      </c>
      <c r="I108" s="688">
        <f>I109+I110</f>
        <v>2.4509987498739947</v>
      </c>
      <c r="J108" s="685">
        <f t="shared" si="63"/>
        <v>0</v>
      </c>
      <c r="K108" s="686">
        <f t="shared" ref="K108:P108" si="72">K109+K110</f>
        <v>0</v>
      </c>
      <c r="L108" s="687">
        <f t="shared" si="72"/>
        <v>0</v>
      </c>
      <c r="M108" s="689">
        <f t="shared" si="72"/>
        <v>0</v>
      </c>
      <c r="N108" s="684">
        <f t="shared" si="72"/>
        <v>0</v>
      </c>
      <c r="O108" s="690">
        <f t="shared" si="72"/>
        <v>0</v>
      </c>
      <c r="P108" s="685">
        <f t="shared" si="72"/>
        <v>0.49314056060987888</v>
      </c>
    </row>
    <row r="109" spans="2:16">
      <c r="B109" s="525" t="s">
        <v>504</v>
      </c>
      <c r="C109" s="524" t="s">
        <v>600</v>
      </c>
      <c r="D109" s="691">
        <v>0</v>
      </c>
      <c r="E109" s="692">
        <f>IFERROR($D109*E127/100, 0)</f>
        <v>0</v>
      </c>
      <c r="F109" s="693">
        <f t="shared" si="62"/>
        <v>0</v>
      </c>
      <c r="G109" s="694">
        <f t="shared" ref="G109:I110" si="73">IFERROR($D109*G127/100, 0)</f>
        <v>0</v>
      </c>
      <c r="H109" s="695">
        <f t="shared" si="73"/>
        <v>0</v>
      </c>
      <c r="I109" s="696">
        <f t="shared" si="73"/>
        <v>0</v>
      </c>
      <c r="J109" s="693">
        <f t="shared" si="63"/>
        <v>0</v>
      </c>
      <c r="K109" s="694">
        <f t="shared" ref="K109:P110" si="74">IFERROR($D109*K127/100, 0)</f>
        <v>0</v>
      </c>
      <c r="L109" s="695">
        <f t="shared" si="74"/>
        <v>0</v>
      </c>
      <c r="M109" s="697">
        <f t="shared" si="74"/>
        <v>0</v>
      </c>
      <c r="N109" s="692">
        <f t="shared" si="74"/>
        <v>0</v>
      </c>
      <c r="O109" s="698">
        <f t="shared" si="74"/>
        <v>0</v>
      </c>
      <c r="P109" s="693">
        <f t="shared" si="74"/>
        <v>0</v>
      </c>
    </row>
    <row r="110" spans="2:16" ht="26.25">
      <c r="B110" s="525" t="s">
        <v>505</v>
      </c>
      <c r="C110" s="580" t="s">
        <v>601</v>
      </c>
      <c r="D110" s="691">
        <v>5.61</v>
      </c>
      <c r="E110" s="692">
        <f>IFERROR($D110*E128/100, 0)</f>
        <v>0</v>
      </c>
      <c r="F110" s="693">
        <f t="shared" si="62"/>
        <v>5.1168594393901259</v>
      </c>
      <c r="G110" s="694">
        <f t="shared" si="73"/>
        <v>1.9735845688004026</v>
      </c>
      <c r="H110" s="695">
        <f t="shared" si="73"/>
        <v>0.69227612071572853</v>
      </c>
      <c r="I110" s="696">
        <f t="shared" si="73"/>
        <v>2.4509987498739947</v>
      </c>
      <c r="J110" s="693">
        <f t="shared" si="63"/>
        <v>0</v>
      </c>
      <c r="K110" s="694">
        <f t="shared" si="74"/>
        <v>0</v>
      </c>
      <c r="L110" s="695">
        <f t="shared" si="74"/>
        <v>0</v>
      </c>
      <c r="M110" s="697">
        <f t="shared" si="74"/>
        <v>0</v>
      </c>
      <c r="N110" s="692">
        <f t="shared" si="74"/>
        <v>0</v>
      </c>
      <c r="O110" s="698">
        <f t="shared" si="74"/>
        <v>0</v>
      </c>
      <c r="P110" s="693">
        <f t="shared" si="74"/>
        <v>0.49314056060987888</v>
      </c>
    </row>
    <row r="111" spans="2:16">
      <c r="B111" s="498" t="s">
        <v>177</v>
      </c>
      <c r="C111" s="535" t="s">
        <v>39</v>
      </c>
      <c r="D111" s="699">
        <f>D112+D113</f>
        <v>0</v>
      </c>
      <c r="E111" s="700">
        <f>E112+E113</f>
        <v>0</v>
      </c>
      <c r="F111" s="701">
        <f t="shared" si="62"/>
        <v>0</v>
      </c>
      <c r="G111" s="702">
        <f>G112+G113</f>
        <v>0</v>
      </c>
      <c r="H111" s="703">
        <f>H112+H113</f>
        <v>0</v>
      </c>
      <c r="I111" s="704">
        <f>I112+I113</f>
        <v>0</v>
      </c>
      <c r="J111" s="701">
        <f t="shared" si="63"/>
        <v>0</v>
      </c>
      <c r="K111" s="702">
        <f t="shared" ref="K111:P111" si="75">K112+K113</f>
        <v>0</v>
      </c>
      <c r="L111" s="703">
        <f t="shared" si="75"/>
        <v>0</v>
      </c>
      <c r="M111" s="705">
        <f t="shared" si="75"/>
        <v>0</v>
      </c>
      <c r="N111" s="700">
        <f t="shared" si="75"/>
        <v>0</v>
      </c>
      <c r="O111" s="706">
        <f t="shared" si="75"/>
        <v>0</v>
      </c>
      <c r="P111" s="701">
        <f t="shared" si="75"/>
        <v>0</v>
      </c>
    </row>
    <row r="112" spans="2:16">
      <c r="B112" s="543" t="s">
        <v>648</v>
      </c>
      <c r="C112" s="544" t="s">
        <v>41</v>
      </c>
      <c r="D112" s="707">
        <v>0</v>
      </c>
      <c r="E112" s="692">
        <f>IFERROR($D112*E129/100, 0)</f>
        <v>0</v>
      </c>
      <c r="F112" s="693">
        <f t="shared" si="62"/>
        <v>0</v>
      </c>
      <c r="G112" s="694">
        <f t="shared" ref="G112:I113" si="76">IFERROR($D112*G129/100, 0)</f>
        <v>0</v>
      </c>
      <c r="H112" s="695">
        <f t="shared" si="76"/>
        <v>0</v>
      </c>
      <c r="I112" s="696">
        <f t="shared" si="76"/>
        <v>0</v>
      </c>
      <c r="J112" s="693">
        <f t="shared" si="63"/>
        <v>0</v>
      </c>
      <c r="K112" s="694">
        <f t="shared" ref="K112:P113" si="77">IFERROR($D112*K129/100, 0)</f>
        <v>0</v>
      </c>
      <c r="L112" s="695">
        <f t="shared" si="77"/>
        <v>0</v>
      </c>
      <c r="M112" s="697">
        <f t="shared" si="77"/>
        <v>0</v>
      </c>
      <c r="N112" s="692">
        <f t="shared" si="77"/>
        <v>0</v>
      </c>
      <c r="O112" s="698">
        <f t="shared" si="77"/>
        <v>0</v>
      </c>
      <c r="P112" s="693">
        <f t="shared" si="77"/>
        <v>0</v>
      </c>
    </row>
    <row r="113" spans="2:16">
      <c r="B113" s="543" t="s">
        <v>649</v>
      </c>
      <c r="C113" s="551" t="s">
        <v>650</v>
      </c>
      <c r="D113" s="707">
        <v>0</v>
      </c>
      <c r="E113" s="692">
        <f>IFERROR($D113*E130/100, 0)</f>
        <v>0</v>
      </c>
      <c r="F113" s="693">
        <f t="shared" si="62"/>
        <v>0</v>
      </c>
      <c r="G113" s="694">
        <f t="shared" si="76"/>
        <v>0</v>
      </c>
      <c r="H113" s="695">
        <f t="shared" si="76"/>
        <v>0</v>
      </c>
      <c r="I113" s="696">
        <f t="shared" si="76"/>
        <v>0</v>
      </c>
      <c r="J113" s="693">
        <f t="shared" si="63"/>
        <v>0</v>
      </c>
      <c r="K113" s="694">
        <f t="shared" si="77"/>
        <v>0</v>
      </c>
      <c r="L113" s="695">
        <f t="shared" si="77"/>
        <v>0</v>
      </c>
      <c r="M113" s="697">
        <f t="shared" si="77"/>
        <v>0</v>
      </c>
      <c r="N113" s="692">
        <f t="shared" si="77"/>
        <v>0</v>
      </c>
      <c r="O113" s="698">
        <f t="shared" si="77"/>
        <v>0</v>
      </c>
      <c r="P113" s="693">
        <f t="shared" si="77"/>
        <v>0</v>
      </c>
    </row>
    <row r="114" spans="2:16">
      <c r="B114" s="554" t="s">
        <v>179</v>
      </c>
      <c r="C114" s="555" t="s">
        <v>602</v>
      </c>
      <c r="D114" s="699">
        <f>SUM(D115:D117)</f>
        <v>0.24</v>
      </c>
      <c r="E114" s="708">
        <f>SUM(E115:E117)</f>
        <v>0.24</v>
      </c>
      <c r="F114" s="701">
        <f t="shared" si="62"/>
        <v>0</v>
      </c>
      <c r="G114" s="708">
        <f>SUM(G115:G117)</f>
        <v>0</v>
      </c>
      <c r="H114" s="709">
        <f t="shared" ref="H114:I114" si="78">SUM(H115:H117)</f>
        <v>0</v>
      </c>
      <c r="I114" s="710">
        <f t="shared" si="78"/>
        <v>0</v>
      </c>
      <c r="J114" s="701">
        <f t="shared" si="63"/>
        <v>0</v>
      </c>
      <c r="K114" s="709">
        <f t="shared" ref="K114" si="79">SUM(K115:K117)</f>
        <v>0</v>
      </c>
      <c r="L114" s="709">
        <f t="shared" ref="L114" si="80">SUM(L115:L117)</f>
        <v>0</v>
      </c>
      <c r="M114" s="711">
        <f t="shared" ref="M114" si="81">SUM(M115:M117)</f>
        <v>0</v>
      </c>
      <c r="N114" s="709">
        <f t="shared" ref="N114" si="82">SUM(N115:N117)</f>
        <v>0</v>
      </c>
      <c r="O114" s="712">
        <f t="shared" ref="O114:P114" si="83">SUM(O115:O117)</f>
        <v>0</v>
      </c>
      <c r="P114" s="713">
        <f t="shared" si="83"/>
        <v>0</v>
      </c>
    </row>
    <row r="115" spans="2:16">
      <c r="B115" s="556" t="s">
        <v>509</v>
      </c>
      <c r="C115" s="557" t="s">
        <v>603</v>
      </c>
      <c r="D115" s="714">
        <v>0</v>
      </c>
      <c r="E115" s="692">
        <f>IFERROR($D115*E131/100, 0)</f>
        <v>0</v>
      </c>
      <c r="F115" s="693">
        <f t="shared" si="62"/>
        <v>0</v>
      </c>
      <c r="G115" s="694">
        <f t="shared" ref="G115:I117" si="84">IFERROR($D115*G131/100, 0)</f>
        <v>0</v>
      </c>
      <c r="H115" s="695">
        <f t="shared" si="84"/>
        <v>0</v>
      </c>
      <c r="I115" s="696">
        <f t="shared" si="84"/>
        <v>0</v>
      </c>
      <c r="J115" s="693">
        <f t="shared" si="63"/>
        <v>0</v>
      </c>
      <c r="K115" s="694">
        <f t="shared" ref="K115:P117" si="85">IFERROR($D115*K131/100, 0)</f>
        <v>0</v>
      </c>
      <c r="L115" s="695">
        <f t="shared" si="85"/>
        <v>0</v>
      </c>
      <c r="M115" s="697">
        <f t="shared" si="85"/>
        <v>0</v>
      </c>
      <c r="N115" s="692">
        <f t="shared" si="85"/>
        <v>0</v>
      </c>
      <c r="O115" s="698">
        <f t="shared" si="85"/>
        <v>0</v>
      </c>
      <c r="P115" s="693">
        <f t="shared" si="85"/>
        <v>0</v>
      </c>
    </row>
    <row r="116" spans="2:16">
      <c r="B116" s="543" t="s">
        <v>510</v>
      </c>
      <c r="C116" s="557" t="s">
        <v>603</v>
      </c>
      <c r="D116" s="714">
        <v>0</v>
      </c>
      <c r="E116" s="692">
        <f>IFERROR($D116*E132/100, 0)</f>
        <v>0</v>
      </c>
      <c r="F116" s="693">
        <f t="shared" si="62"/>
        <v>0</v>
      </c>
      <c r="G116" s="694">
        <f t="shared" si="84"/>
        <v>0</v>
      </c>
      <c r="H116" s="695">
        <f t="shared" si="84"/>
        <v>0</v>
      </c>
      <c r="I116" s="696">
        <f t="shared" si="84"/>
        <v>0</v>
      </c>
      <c r="J116" s="693">
        <f t="shared" si="63"/>
        <v>0</v>
      </c>
      <c r="K116" s="694">
        <f t="shared" si="85"/>
        <v>0</v>
      </c>
      <c r="L116" s="695">
        <f t="shared" si="85"/>
        <v>0</v>
      </c>
      <c r="M116" s="697">
        <f t="shared" si="85"/>
        <v>0</v>
      </c>
      <c r="N116" s="692">
        <f t="shared" si="85"/>
        <v>0</v>
      </c>
      <c r="O116" s="698">
        <f t="shared" si="85"/>
        <v>0</v>
      </c>
      <c r="P116" s="693">
        <f t="shared" si="85"/>
        <v>0</v>
      </c>
    </row>
    <row r="117" spans="2:16" ht="15.75" thickBot="1">
      <c r="B117" s="613" t="s">
        <v>511</v>
      </c>
      <c r="C117" s="560" t="s">
        <v>603</v>
      </c>
      <c r="D117" s="691">
        <v>0.24</v>
      </c>
      <c r="E117" s="692">
        <f>IFERROR($D117*E133/100, 0)</f>
        <v>0.24</v>
      </c>
      <c r="F117" s="693">
        <f t="shared" si="62"/>
        <v>0</v>
      </c>
      <c r="G117" s="694">
        <f t="shared" si="84"/>
        <v>0</v>
      </c>
      <c r="H117" s="695">
        <f t="shared" si="84"/>
        <v>0</v>
      </c>
      <c r="I117" s="696">
        <f t="shared" si="84"/>
        <v>0</v>
      </c>
      <c r="J117" s="693">
        <f t="shared" si="63"/>
        <v>0</v>
      </c>
      <c r="K117" s="694">
        <f t="shared" si="85"/>
        <v>0</v>
      </c>
      <c r="L117" s="695">
        <f t="shared" si="85"/>
        <v>0</v>
      </c>
      <c r="M117" s="697">
        <f t="shared" si="85"/>
        <v>0</v>
      </c>
      <c r="N117" s="692">
        <f t="shared" si="85"/>
        <v>0</v>
      </c>
      <c r="O117" s="698">
        <f t="shared" si="85"/>
        <v>0</v>
      </c>
      <c r="P117" s="693">
        <f t="shared" si="85"/>
        <v>0</v>
      </c>
    </row>
    <row r="118" spans="2:16" ht="68.25" customHeight="1" thickBot="1">
      <c r="B118" s="477" t="s">
        <v>79</v>
      </c>
      <c r="C118" s="484" t="s">
        <v>651</v>
      </c>
      <c r="D118" s="623" t="s">
        <v>255</v>
      </c>
      <c r="E118" s="486" t="s">
        <v>256</v>
      </c>
      <c r="F118" s="480" t="s">
        <v>257</v>
      </c>
      <c r="G118" s="624" t="s">
        <v>258</v>
      </c>
      <c r="H118" s="625" t="s">
        <v>259</v>
      </c>
      <c r="I118" s="626" t="s">
        <v>260</v>
      </c>
      <c r="J118" s="484" t="s">
        <v>261</v>
      </c>
      <c r="K118" s="624" t="s">
        <v>262</v>
      </c>
      <c r="L118" s="625" t="s">
        <v>263</v>
      </c>
      <c r="M118" s="627" t="s">
        <v>264</v>
      </c>
      <c r="N118" s="486" t="s">
        <v>619</v>
      </c>
      <c r="O118" s="487" t="s">
        <v>458</v>
      </c>
      <c r="P118" s="484" t="s">
        <v>459</v>
      </c>
    </row>
    <row r="119" spans="2:16">
      <c r="B119" s="628" t="s">
        <v>212</v>
      </c>
      <c r="C119" s="629" t="s">
        <v>652</v>
      </c>
      <c r="D119" s="630">
        <f t="shared" ref="D119:D134" si="86">E119+F119+J119+N119+O119+P119</f>
        <v>100</v>
      </c>
      <c r="E119" s="715">
        <v>100</v>
      </c>
      <c r="F119" s="632">
        <f t="shared" ref="F119:F134" si="87">SUM(G119:I119)</f>
        <v>0</v>
      </c>
      <c r="G119" s="716">
        <v>0</v>
      </c>
      <c r="H119" s="717">
        <v>0</v>
      </c>
      <c r="I119" s="718">
        <v>0</v>
      </c>
      <c r="J119" s="632">
        <f t="shared" ref="J119:J134" si="88">SUM(K119:M119)</f>
        <v>0</v>
      </c>
      <c r="K119" s="716">
        <v>0</v>
      </c>
      <c r="L119" s="717">
        <v>0</v>
      </c>
      <c r="M119" s="719">
        <v>0</v>
      </c>
      <c r="N119" s="720">
        <v>0</v>
      </c>
      <c r="O119" s="721">
        <v>0</v>
      </c>
      <c r="P119" s="722">
        <v>0</v>
      </c>
    </row>
    <row r="120" spans="2:16">
      <c r="B120" s="640" t="s">
        <v>214</v>
      </c>
      <c r="C120" s="641" t="s">
        <v>653</v>
      </c>
      <c r="D120" s="642">
        <f t="shared" si="86"/>
        <v>0</v>
      </c>
      <c r="E120" s="715">
        <v>0</v>
      </c>
      <c r="F120" s="644">
        <f t="shared" si="87"/>
        <v>0</v>
      </c>
      <c r="G120" s="723">
        <v>0</v>
      </c>
      <c r="H120" s="724">
        <v>0</v>
      </c>
      <c r="I120" s="725">
        <v>0</v>
      </c>
      <c r="J120" s="644">
        <f t="shared" si="88"/>
        <v>0</v>
      </c>
      <c r="K120" s="723">
        <v>0</v>
      </c>
      <c r="L120" s="724">
        <v>0</v>
      </c>
      <c r="M120" s="726">
        <v>0</v>
      </c>
      <c r="N120" s="727">
        <v>0</v>
      </c>
      <c r="O120" s="728">
        <v>0</v>
      </c>
      <c r="P120" s="729">
        <v>0</v>
      </c>
    </row>
    <row r="121" spans="2:16">
      <c r="B121" s="640" t="s">
        <v>222</v>
      </c>
      <c r="C121" s="641" t="s">
        <v>654</v>
      </c>
      <c r="D121" s="642">
        <f t="shared" si="86"/>
        <v>0</v>
      </c>
      <c r="E121" s="715">
        <v>0</v>
      </c>
      <c r="F121" s="644">
        <f t="shared" si="87"/>
        <v>0</v>
      </c>
      <c r="G121" s="723">
        <v>0</v>
      </c>
      <c r="H121" s="724">
        <v>0</v>
      </c>
      <c r="I121" s="725">
        <v>0</v>
      </c>
      <c r="J121" s="644">
        <f t="shared" si="88"/>
        <v>0</v>
      </c>
      <c r="K121" s="723">
        <v>0</v>
      </c>
      <c r="L121" s="724">
        <v>0</v>
      </c>
      <c r="M121" s="726">
        <v>0</v>
      </c>
      <c r="N121" s="727">
        <v>0</v>
      </c>
      <c r="O121" s="728">
        <v>0</v>
      </c>
      <c r="P121" s="729">
        <v>0</v>
      </c>
    </row>
    <row r="122" spans="2:16">
      <c r="B122" s="652" t="s">
        <v>224</v>
      </c>
      <c r="C122" s="641" t="s">
        <v>655</v>
      </c>
      <c r="D122" s="642">
        <f t="shared" si="86"/>
        <v>100.00000000000006</v>
      </c>
      <c r="E122" s="715">
        <v>0</v>
      </c>
      <c r="F122" s="644">
        <f t="shared" si="87"/>
        <v>70.0665281519247</v>
      </c>
      <c r="G122" s="723">
        <v>58.716599951020797</v>
      </c>
      <c r="H122" s="724">
        <v>11.3499282009039</v>
      </c>
      <c r="I122" s="725">
        <v>0</v>
      </c>
      <c r="J122" s="644">
        <f t="shared" si="88"/>
        <v>29.933471848075349</v>
      </c>
      <c r="K122" s="723">
        <v>3.2314781708484501</v>
      </c>
      <c r="L122" s="724">
        <v>26.701993677226898</v>
      </c>
      <c r="M122" s="726">
        <v>0</v>
      </c>
      <c r="N122" s="727">
        <v>0</v>
      </c>
      <c r="O122" s="728">
        <v>0</v>
      </c>
      <c r="P122" s="729">
        <v>0</v>
      </c>
    </row>
    <row r="123" spans="2:16">
      <c r="B123" s="640" t="s">
        <v>656</v>
      </c>
      <c r="C123" s="641" t="s">
        <v>657</v>
      </c>
      <c r="D123" s="642">
        <f t="shared" si="86"/>
        <v>100</v>
      </c>
      <c r="E123" s="715">
        <v>0</v>
      </c>
      <c r="F123" s="644">
        <f t="shared" si="87"/>
        <v>100</v>
      </c>
      <c r="G123" s="723">
        <v>100</v>
      </c>
      <c r="H123" s="724">
        <v>0</v>
      </c>
      <c r="I123" s="725">
        <v>0</v>
      </c>
      <c r="J123" s="644">
        <f t="shared" si="88"/>
        <v>0</v>
      </c>
      <c r="K123" s="723">
        <v>0</v>
      </c>
      <c r="L123" s="724">
        <v>0</v>
      </c>
      <c r="M123" s="726">
        <v>0</v>
      </c>
      <c r="N123" s="727">
        <v>0</v>
      </c>
      <c r="O123" s="728">
        <v>0</v>
      </c>
      <c r="P123" s="729">
        <v>0</v>
      </c>
    </row>
    <row r="124" spans="2:16">
      <c r="B124" s="640" t="s">
        <v>658</v>
      </c>
      <c r="C124" s="641" t="s">
        <v>659</v>
      </c>
      <c r="D124" s="642">
        <f t="shared" si="86"/>
        <v>99.999999999999972</v>
      </c>
      <c r="E124" s="715">
        <v>0</v>
      </c>
      <c r="F124" s="644">
        <f t="shared" si="87"/>
        <v>55.980508984508603</v>
      </c>
      <c r="G124" s="723">
        <v>0</v>
      </c>
      <c r="H124" s="724">
        <v>0</v>
      </c>
      <c r="I124" s="725">
        <v>55.980508984508603</v>
      </c>
      <c r="J124" s="644">
        <f t="shared" si="88"/>
        <v>40.411765399907999</v>
      </c>
      <c r="K124" s="723">
        <v>40.411765399907999</v>
      </c>
      <c r="L124" s="724">
        <v>0</v>
      </c>
      <c r="M124" s="726">
        <v>0</v>
      </c>
      <c r="N124" s="727">
        <v>0</v>
      </c>
      <c r="O124" s="728">
        <v>0</v>
      </c>
      <c r="P124" s="729">
        <v>3.6077256155833699</v>
      </c>
    </row>
    <row r="125" spans="2:16">
      <c r="B125" s="640" t="s">
        <v>660</v>
      </c>
      <c r="C125" s="641" t="s">
        <v>661</v>
      </c>
      <c r="D125" s="642">
        <f t="shared" si="86"/>
        <v>99.999999999999943</v>
      </c>
      <c r="E125" s="715">
        <v>0</v>
      </c>
      <c r="F125" s="644">
        <f t="shared" si="87"/>
        <v>38.81546548206515</v>
      </c>
      <c r="G125" s="723">
        <v>15.8644810500608</v>
      </c>
      <c r="H125" s="724">
        <v>1.5718750942220501</v>
      </c>
      <c r="I125" s="725">
        <v>21.3791093377823</v>
      </c>
      <c r="J125" s="644">
        <f t="shared" si="88"/>
        <v>61.1845345179348</v>
      </c>
      <c r="K125" s="723">
        <v>48.767324294716502</v>
      </c>
      <c r="L125" s="724">
        <v>12.4172102232183</v>
      </c>
      <c r="M125" s="726">
        <v>0</v>
      </c>
      <c r="N125" s="727">
        <v>0</v>
      </c>
      <c r="O125" s="728">
        <v>0</v>
      </c>
      <c r="P125" s="729">
        <v>0</v>
      </c>
    </row>
    <row r="126" spans="2:16">
      <c r="B126" s="652" t="s">
        <v>662</v>
      </c>
      <c r="C126" s="641" t="s">
        <v>663</v>
      </c>
      <c r="D126" s="642">
        <f t="shared" si="86"/>
        <v>99.999999999999957</v>
      </c>
      <c r="E126" s="715">
        <v>2.4338557993730401</v>
      </c>
      <c r="F126" s="644">
        <f t="shared" si="87"/>
        <v>82.333912064946503</v>
      </c>
      <c r="G126" s="723">
        <v>38.018310425206998</v>
      </c>
      <c r="H126" s="724">
        <v>26.117386062213601</v>
      </c>
      <c r="I126" s="725">
        <v>18.1982155775259</v>
      </c>
      <c r="J126" s="644">
        <f t="shared" si="88"/>
        <v>15.23223213568042</v>
      </c>
      <c r="K126" s="723">
        <v>8.9269029820754007</v>
      </c>
      <c r="L126" s="724">
        <v>6.3053291536050198</v>
      </c>
      <c r="M126" s="726">
        <v>0</v>
      </c>
      <c r="N126" s="727">
        <v>0</v>
      </c>
      <c r="O126" s="728">
        <v>0</v>
      </c>
      <c r="P126" s="729">
        <v>0</v>
      </c>
    </row>
    <row r="127" spans="2:16">
      <c r="B127" s="652" t="s">
        <v>664</v>
      </c>
      <c r="C127" s="641" t="s">
        <v>665</v>
      </c>
      <c r="D127" s="642">
        <f t="shared" si="86"/>
        <v>0</v>
      </c>
      <c r="E127" s="715">
        <v>0</v>
      </c>
      <c r="F127" s="644">
        <f t="shared" si="87"/>
        <v>0</v>
      </c>
      <c r="G127" s="723">
        <v>0</v>
      </c>
      <c r="H127" s="724">
        <v>0</v>
      </c>
      <c r="I127" s="725">
        <v>0</v>
      </c>
      <c r="J127" s="644">
        <f t="shared" si="88"/>
        <v>0</v>
      </c>
      <c r="K127" s="723">
        <v>0</v>
      </c>
      <c r="L127" s="724">
        <v>0</v>
      </c>
      <c r="M127" s="726">
        <v>0</v>
      </c>
      <c r="N127" s="727">
        <v>0</v>
      </c>
      <c r="O127" s="728">
        <v>0</v>
      </c>
      <c r="P127" s="729">
        <v>0</v>
      </c>
    </row>
    <row r="128" spans="2:16">
      <c r="B128" s="652" t="s">
        <v>666</v>
      </c>
      <c r="C128" s="641" t="s">
        <v>667</v>
      </c>
      <c r="D128" s="642">
        <f t="shared" si="86"/>
        <v>100.00000000000009</v>
      </c>
      <c r="E128" s="715">
        <v>0</v>
      </c>
      <c r="F128" s="644">
        <f t="shared" si="87"/>
        <v>91.209615675403313</v>
      </c>
      <c r="G128" s="723">
        <v>35.179760584677403</v>
      </c>
      <c r="H128" s="724">
        <v>12.340037802419401</v>
      </c>
      <c r="I128" s="725">
        <v>43.6898172883065</v>
      </c>
      <c r="J128" s="644">
        <f t="shared" si="88"/>
        <v>0</v>
      </c>
      <c r="K128" s="723">
        <v>0</v>
      </c>
      <c r="L128" s="724">
        <v>0</v>
      </c>
      <c r="M128" s="726">
        <v>0</v>
      </c>
      <c r="N128" s="727">
        <v>0</v>
      </c>
      <c r="O128" s="728">
        <v>0</v>
      </c>
      <c r="P128" s="729">
        <v>8.7903843245967703</v>
      </c>
    </row>
    <row r="129" spans="2:16">
      <c r="B129" s="652" t="s">
        <v>668</v>
      </c>
      <c r="C129" s="641" t="s">
        <v>669</v>
      </c>
      <c r="D129" s="642">
        <f t="shared" si="86"/>
        <v>100</v>
      </c>
      <c r="E129" s="715">
        <v>100</v>
      </c>
      <c r="F129" s="644">
        <f t="shared" si="87"/>
        <v>0</v>
      </c>
      <c r="G129" s="723">
        <v>0</v>
      </c>
      <c r="H129" s="724">
        <v>0</v>
      </c>
      <c r="I129" s="725">
        <v>0</v>
      </c>
      <c r="J129" s="644">
        <f t="shared" si="88"/>
        <v>0</v>
      </c>
      <c r="K129" s="723">
        <v>0</v>
      </c>
      <c r="L129" s="724">
        <v>0</v>
      </c>
      <c r="M129" s="726">
        <v>0</v>
      </c>
      <c r="N129" s="727">
        <v>0</v>
      </c>
      <c r="O129" s="728">
        <v>0</v>
      </c>
      <c r="P129" s="729">
        <v>0</v>
      </c>
    </row>
    <row r="130" spans="2:16">
      <c r="B130" s="640" t="s">
        <v>670</v>
      </c>
      <c r="C130" s="641" t="s">
        <v>671</v>
      </c>
      <c r="D130" s="642">
        <f t="shared" si="86"/>
        <v>100.00000000000003</v>
      </c>
      <c r="E130" s="715">
        <v>0</v>
      </c>
      <c r="F130" s="644">
        <f t="shared" si="87"/>
        <v>0</v>
      </c>
      <c r="G130" s="723">
        <v>0</v>
      </c>
      <c r="H130" s="724">
        <v>0</v>
      </c>
      <c r="I130" s="725">
        <v>0</v>
      </c>
      <c r="J130" s="644">
        <f t="shared" si="88"/>
        <v>9.1695550275056199</v>
      </c>
      <c r="K130" s="723">
        <v>0</v>
      </c>
      <c r="L130" s="724">
        <v>0</v>
      </c>
      <c r="M130" s="726">
        <v>9.1695550275056199</v>
      </c>
      <c r="N130" s="727">
        <v>0</v>
      </c>
      <c r="O130" s="728">
        <v>0</v>
      </c>
      <c r="P130" s="729">
        <v>90.830444972494405</v>
      </c>
    </row>
    <row r="131" spans="2:16">
      <c r="B131" s="652" t="s">
        <v>672</v>
      </c>
      <c r="C131" s="641" t="s">
        <v>673</v>
      </c>
      <c r="D131" s="642">
        <f t="shared" si="86"/>
        <v>0</v>
      </c>
      <c r="E131" s="715">
        <v>0</v>
      </c>
      <c r="F131" s="644">
        <f t="shared" si="87"/>
        <v>0</v>
      </c>
      <c r="G131" s="723">
        <v>0</v>
      </c>
      <c r="H131" s="724">
        <v>0</v>
      </c>
      <c r="I131" s="725">
        <v>0</v>
      </c>
      <c r="J131" s="644">
        <f t="shared" si="88"/>
        <v>0</v>
      </c>
      <c r="K131" s="723">
        <v>0</v>
      </c>
      <c r="L131" s="724">
        <v>0</v>
      </c>
      <c r="M131" s="726">
        <v>0</v>
      </c>
      <c r="N131" s="727">
        <v>0</v>
      </c>
      <c r="O131" s="728">
        <v>0</v>
      </c>
      <c r="P131" s="729">
        <v>0</v>
      </c>
    </row>
    <row r="132" spans="2:16">
      <c r="B132" s="652" t="s">
        <v>674</v>
      </c>
      <c r="C132" s="653" t="s">
        <v>675</v>
      </c>
      <c r="D132" s="654">
        <f t="shared" si="86"/>
        <v>0</v>
      </c>
      <c r="E132" s="730">
        <v>0</v>
      </c>
      <c r="F132" s="656">
        <f t="shared" si="87"/>
        <v>0</v>
      </c>
      <c r="G132" s="731">
        <v>0</v>
      </c>
      <c r="H132" s="732">
        <v>0</v>
      </c>
      <c r="I132" s="733">
        <v>0</v>
      </c>
      <c r="J132" s="656">
        <f t="shared" si="88"/>
        <v>0</v>
      </c>
      <c r="K132" s="731">
        <v>0</v>
      </c>
      <c r="L132" s="732">
        <v>0</v>
      </c>
      <c r="M132" s="734">
        <v>0</v>
      </c>
      <c r="N132" s="735">
        <v>0</v>
      </c>
      <c r="O132" s="736">
        <v>0</v>
      </c>
      <c r="P132" s="737">
        <v>0</v>
      </c>
    </row>
    <row r="133" spans="2:16" ht="15.75" thickBot="1">
      <c r="B133" s="738" t="s">
        <v>676</v>
      </c>
      <c r="C133" s="739" t="s">
        <v>677</v>
      </c>
      <c r="D133" s="740">
        <f t="shared" si="86"/>
        <v>100</v>
      </c>
      <c r="E133" s="741">
        <v>100</v>
      </c>
      <c r="F133" s="742">
        <f t="shared" si="87"/>
        <v>0</v>
      </c>
      <c r="G133" s="743">
        <v>0</v>
      </c>
      <c r="H133" s="744">
        <v>0</v>
      </c>
      <c r="I133" s="745">
        <v>0</v>
      </c>
      <c r="J133" s="742">
        <f t="shared" si="88"/>
        <v>0</v>
      </c>
      <c r="K133" s="743">
        <v>0</v>
      </c>
      <c r="L133" s="744">
        <v>0</v>
      </c>
      <c r="M133" s="746">
        <v>0</v>
      </c>
      <c r="N133" s="747">
        <v>0</v>
      </c>
      <c r="O133" s="748">
        <v>0</v>
      </c>
      <c r="P133" s="749">
        <v>0</v>
      </c>
    </row>
    <row r="134" spans="2:16" ht="26.25" thickBot="1">
      <c r="B134" s="750" t="s">
        <v>81</v>
      </c>
      <c r="C134" s="751" t="s">
        <v>678</v>
      </c>
      <c r="D134" s="752">
        <f t="shared" si="86"/>
        <v>100.00000000000003</v>
      </c>
      <c r="E134" s="753">
        <f>IFERROR(E96/$D$96*100, 0)</f>
        <v>2.596637847629379</v>
      </c>
      <c r="F134" s="754">
        <f t="shared" si="87"/>
        <v>72.027794297178119</v>
      </c>
      <c r="G134" s="755">
        <f>IFERROR(G96/$D$96*100, 0)</f>
        <v>52.599661442897705</v>
      </c>
      <c r="H134" s="756">
        <f>IFERROR(H96/$D$96*100, 0)</f>
        <v>12.718268356573766</v>
      </c>
      <c r="I134" s="757">
        <f>IFERROR(I96/$D$96*100, 0)</f>
        <v>6.7098644977066444</v>
      </c>
      <c r="J134" s="754">
        <f t="shared" si="88"/>
        <v>24.403670810238101</v>
      </c>
      <c r="K134" s="755">
        <f t="shared" ref="K134:P134" si="89">IFERROR(K96/$D$96*100, 0)</f>
        <v>3.3865821213620437</v>
      </c>
      <c r="L134" s="756">
        <f t="shared" si="89"/>
        <v>21.017088688876058</v>
      </c>
      <c r="M134" s="758">
        <f t="shared" si="89"/>
        <v>0</v>
      </c>
      <c r="N134" s="754">
        <f t="shared" si="89"/>
        <v>0</v>
      </c>
      <c r="O134" s="759">
        <f t="shared" si="89"/>
        <v>0</v>
      </c>
      <c r="P134" s="754">
        <f t="shared" si="89"/>
        <v>0.97189704495443208</v>
      </c>
    </row>
  </sheetData>
  <sheetProtection password="F757" sheet="1" objects="1" scenarios="1"/>
  <mergeCells count="5">
    <mergeCell ref="B8:P8"/>
    <mergeCell ref="A1:P1"/>
    <mergeCell ref="A2:P2"/>
    <mergeCell ref="A3:P3"/>
    <mergeCell ref="A5:P5"/>
  </mergeCells>
  <pageMargins left="0.31496062992125984" right="0.31496062992125984" top="0.35433070866141736" bottom="0.35433070866141736" header="0.31496062992125984" footer="0.31496062992125984"/>
  <pageSetup paperSize="8" scale="75" fitToHeight="0" orientation="landscape" r:id="rId1"/>
</worksheet>
</file>

<file path=xl/worksheets/sheet7.xml><?xml version="1.0" encoding="utf-8"?>
<worksheet xmlns="http://schemas.openxmlformats.org/spreadsheetml/2006/main" xmlns:r="http://schemas.openxmlformats.org/officeDocument/2006/relationships">
  <dimension ref="A1:H62"/>
  <sheetViews>
    <sheetView workbookViewId="0">
      <selection sqref="A1:F1"/>
    </sheetView>
  </sheetViews>
  <sheetFormatPr defaultColWidth="9.140625" defaultRowHeight="15"/>
  <cols>
    <col min="1" max="1" width="9.140625" style="760"/>
    <col min="2" max="2" width="10.42578125" style="761" customWidth="1"/>
    <col min="3" max="3" width="90.42578125" style="761" customWidth="1"/>
    <col min="4" max="4" width="20.28515625" style="761" customWidth="1"/>
    <col min="5" max="5" width="19.85546875" style="762" customWidth="1"/>
    <col min="6" max="6" width="43.140625" style="761" customWidth="1"/>
    <col min="7" max="7" width="11.7109375" style="760" customWidth="1"/>
    <col min="8" max="8" width="38.7109375" style="760" bestFit="1" customWidth="1"/>
    <col min="9" max="16384" width="9.140625" style="760"/>
  </cols>
  <sheetData>
    <row r="1" spans="1:8">
      <c r="A1" s="1329" t="s">
        <v>0</v>
      </c>
      <c r="B1" s="1330"/>
      <c r="C1" s="1330"/>
      <c r="D1" s="1330"/>
      <c r="E1" s="1330"/>
      <c r="F1" s="1331"/>
    </row>
    <row r="2" spans="1:8">
      <c r="A2" s="1329" t="s">
        <v>1</v>
      </c>
      <c r="B2" s="1330"/>
      <c r="C2" s="1330"/>
      <c r="D2" s="1330"/>
      <c r="E2" s="1330"/>
      <c r="F2" s="1331"/>
    </row>
    <row r="3" spans="1:8">
      <c r="A3" s="1332"/>
      <c r="B3" s="1333"/>
      <c r="C3" s="1333"/>
      <c r="D3" s="1333"/>
      <c r="E3" s="1333"/>
      <c r="F3" s="1334"/>
    </row>
    <row r="4" spans="1:8">
      <c r="A4" s="763"/>
      <c r="B4" s="764"/>
      <c r="C4" s="764"/>
      <c r="D4" s="764"/>
      <c r="E4" s="765"/>
      <c r="F4" s="764"/>
    </row>
    <row r="5" spans="1:8">
      <c r="A5" s="1335" t="s">
        <v>679</v>
      </c>
      <c r="B5" s="1336"/>
      <c r="C5" s="1336"/>
      <c r="D5" s="1336"/>
      <c r="E5" s="1336"/>
      <c r="F5" s="1337"/>
    </row>
    <row r="6" spans="1:8">
      <c r="A6" s="763"/>
      <c r="B6" s="764"/>
      <c r="C6" s="764"/>
      <c r="D6" s="764"/>
      <c r="E6" s="765"/>
      <c r="F6" s="764"/>
    </row>
    <row r="8" spans="1:8" ht="15.75" thickBot="1">
      <c r="B8" s="1328" t="s">
        <v>680</v>
      </c>
      <c r="C8" s="1328"/>
      <c r="D8" s="1328"/>
      <c r="E8" s="1328"/>
      <c r="F8" s="1328"/>
    </row>
    <row r="9" spans="1:8" ht="33" customHeight="1" thickBot="1">
      <c r="B9" s="766" t="s">
        <v>4</v>
      </c>
      <c r="C9" s="767" t="s">
        <v>681</v>
      </c>
      <c r="D9" s="768" t="s">
        <v>682</v>
      </c>
      <c r="E9" s="769" t="s">
        <v>49</v>
      </c>
      <c r="F9" s="770" t="s">
        <v>683</v>
      </c>
      <c r="G9" s="771"/>
    </row>
    <row r="10" spans="1:8" ht="25.5">
      <c r="B10" s="772" t="s">
        <v>684</v>
      </c>
      <c r="C10" s="773" t="s">
        <v>685</v>
      </c>
      <c r="D10" s="774" t="s">
        <v>686</v>
      </c>
      <c r="E10" s="775">
        <f>E11+E19</f>
        <v>1842.47</v>
      </c>
      <c r="F10" s="776" t="s">
        <v>687</v>
      </c>
      <c r="G10" s="771"/>
      <c r="H10" s="777"/>
    </row>
    <row r="11" spans="1:8">
      <c r="B11" s="778" t="s">
        <v>98</v>
      </c>
      <c r="C11" s="779" t="s">
        <v>688</v>
      </c>
      <c r="D11" s="780" t="s">
        <v>686</v>
      </c>
      <c r="E11" s="781">
        <f>SUM(E12:E18)</f>
        <v>103.5</v>
      </c>
      <c r="F11" s="782" t="s">
        <v>687</v>
      </c>
      <c r="G11" s="771"/>
    </row>
    <row r="12" spans="1:8">
      <c r="B12" s="783" t="s">
        <v>689</v>
      </c>
      <c r="C12" s="784" t="s">
        <v>690</v>
      </c>
      <c r="D12" s="785" t="s">
        <v>686</v>
      </c>
      <c r="E12" s="786"/>
      <c r="F12" s="782" t="s">
        <v>687</v>
      </c>
      <c r="G12" s="771"/>
    </row>
    <row r="13" spans="1:8">
      <c r="B13" s="783" t="s">
        <v>691</v>
      </c>
      <c r="C13" s="784" t="s">
        <v>692</v>
      </c>
      <c r="D13" s="785" t="s">
        <v>686</v>
      </c>
      <c r="E13" s="786"/>
      <c r="F13" s="782" t="s">
        <v>687</v>
      </c>
      <c r="G13" s="771"/>
    </row>
    <row r="14" spans="1:8">
      <c r="B14" s="783" t="s">
        <v>693</v>
      </c>
      <c r="C14" s="784" t="s">
        <v>694</v>
      </c>
      <c r="D14" s="785" t="s">
        <v>686</v>
      </c>
      <c r="E14" s="786"/>
      <c r="F14" s="782" t="s">
        <v>687</v>
      </c>
      <c r="G14" s="771"/>
    </row>
    <row r="15" spans="1:8">
      <c r="B15" s="783" t="s">
        <v>695</v>
      </c>
      <c r="C15" s="784" t="s">
        <v>696</v>
      </c>
      <c r="D15" s="785" t="s">
        <v>686</v>
      </c>
      <c r="E15" s="786">
        <v>10.5</v>
      </c>
      <c r="F15" s="782" t="s">
        <v>687</v>
      </c>
      <c r="G15" s="771"/>
    </row>
    <row r="16" spans="1:8">
      <c r="B16" s="783" t="s">
        <v>697</v>
      </c>
      <c r="C16" s="784" t="s">
        <v>698</v>
      </c>
      <c r="D16" s="785" t="s">
        <v>686</v>
      </c>
      <c r="E16" s="786">
        <v>93</v>
      </c>
      <c r="F16" s="782" t="s">
        <v>687</v>
      </c>
      <c r="G16" s="771"/>
    </row>
    <row r="17" spans="2:8">
      <c r="B17" s="783" t="s">
        <v>699</v>
      </c>
      <c r="C17" s="784" t="s">
        <v>700</v>
      </c>
      <c r="D17" s="785" t="s">
        <v>686</v>
      </c>
      <c r="E17" s="786"/>
      <c r="F17" s="782" t="s">
        <v>687</v>
      </c>
      <c r="G17" s="771"/>
    </row>
    <row r="18" spans="2:8" ht="15.75" thickBot="1">
      <c r="B18" s="783" t="s">
        <v>701</v>
      </c>
      <c r="C18" s="787" t="s">
        <v>702</v>
      </c>
      <c r="D18" s="785" t="s">
        <v>686</v>
      </c>
      <c r="E18" s="788"/>
      <c r="F18" s="789" t="s">
        <v>687</v>
      </c>
      <c r="G18" s="771"/>
    </row>
    <row r="19" spans="2:8" ht="27">
      <c r="B19" s="778" t="s">
        <v>100</v>
      </c>
      <c r="C19" s="790" t="s">
        <v>703</v>
      </c>
      <c r="D19" s="791" t="s">
        <v>686</v>
      </c>
      <c r="E19" s="776">
        <f>SUM(E20:E26)</f>
        <v>1738.97</v>
      </c>
      <c r="F19" s="792" t="s">
        <v>687</v>
      </c>
      <c r="G19" s="771"/>
    </row>
    <row r="20" spans="2:8">
      <c r="B20" s="783" t="s">
        <v>704</v>
      </c>
      <c r="C20" s="784" t="s">
        <v>690</v>
      </c>
      <c r="D20" s="783" t="s">
        <v>686</v>
      </c>
      <c r="E20" s="793">
        <v>463.36700000000002</v>
      </c>
      <c r="F20" s="794" t="s">
        <v>687</v>
      </c>
      <c r="G20" s="771"/>
    </row>
    <row r="21" spans="2:8">
      <c r="B21" s="783" t="s">
        <v>705</v>
      </c>
      <c r="C21" s="784" t="s">
        <v>692</v>
      </c>
      <c r="D21" s="783" t="s">
        <v>686</v>
      </c>
      <c r="E21" s="793">
        <v>14.95</v>
      </c>
      <c r="F21" s="794" t="s">
        <v>687</v>
      </c>
      <c r="G21" s="771"/>
    </row>
    <row r="22" spans="2:8">
      <c r="B22" s="783" t="s">
        <v>706</v>
      </c>
      <c r="C22" s="784" t="s">
        <v>694</v>
      </c>
      <c r="D22" s="783" t="s">
        <v>686</v>
      </c>
      <c r="E22" s="793">
        <v>318.10000000000002</v>
      </c>
      <c r="F22" s="794" t="s">
        <v>687</v>
      </c>
      <c r="G22" s="771"/>
    </row>
    <row r="23" spans="2:8">
      <c r="B23" s="783" t="s">
        <v>707</v>
      </c>
      <c r="C23" s="784" t="s">
        <v>696</v>
      </c>
      <c r="D23" s="783" t="s">
        <v>686</v>
      </c>
      <c r="E23" s="793">
        <v>292.149</v>
      </c>
      <c r="F23" s="794" t="s">
        <v>687</v>
      </c>
      <c r="G23" s="771"/>
    </row>
    <row r="24" spans="2:8">
      <c r="B24" s="783" t="s">
        <v>708</v>
      </c>
      <c r="C24" s="784" t="s">
        <v>698</v>
      </c>
      <c r="D24" s="783" t="s">
        <v>686</v>
      </c>
      <c r="E24" s="793">
        <v>650.404</v>
      </c>
      <c r="F24" s="794" t="s">
        <v>687</v>
      </c>
      <c r="G24" s="771"/>
    </row>
    <row r="25" spans="2:8">
      <c r="B25" s="783" t="s">
        <v>709</v>
      </c>
      <c r="C25" s="784" t="s">
        <v>700</v>
      </c>
      <c r="D25" s="783" t="s">
        <v>686</v>
      </c>
      <c r="E25" s="793"/>
      <c r="F25" s="794" t="s">
        <v>687</v>
      </c>
      <c r="G25" s="771"/>
    </row>
    <row r="26" spans="2:8" ht="15.75" thickBot="1">
      <c r="B26" s="783" t="s">
        <v>710</v>
      </c>
      <c r="C26" s="787" t="s">
        <v>702</v>
      </c>
      <c r="D26" s="795" t="s">
        <v>686</v>
      </c>
      <c r="E26" s="796"/>
      <c r="F26" s="794" t="s">
        <v>687</v>
      </c>
      <c r="G26" s="771"/>
      <c r="H26" s="777"/>
    </row>
    <row r="27" spans="2:8" ht="15.75" thickBot="1">
      <c r="B27" s="797" t="s">
        <v>53</v>
      </c>
      <c r="C27" s="767" t="s">
        <v>711</v>
      </c>
      <c r="D27" s="797" t="s">
        <v>686</v>
      </c>
      <c r="E27" s="798">
        <f>E28+E32+E36+E37+E38</f>
        <v>1853.8639999999998</v>
      </c>
      <c r="F27" s="799"/>
      <c r="G27" s="771"/>
    </row>
    <row r="28" spans="2:8">
      <c r="B28" s="772" t="s">
        <v>138</v>
      </c>
      <c r="C28" s="800" t="s">
        <v>712</v>
      </c>
      <c r="D28" s="772" t="s">
        <v>686</v>
      </c>
      <c r="E28" s="801">
        <f>E29+E30+E31</f>
        <v>796.41700000000003</v>
      </c>
      <c r="F28" s="792" t="s">
        <v>687</v>
      </c>
      <c r="G28" s="771"/>
    </row>
    <row r="29" spans="2:8">
      <c r="B29" s="778" t="s">
        <v>713</v>
      </c>
      <c r="C29" s="802" t="s">
        <v>690</v>
      </c>
      <c r="D29" s="778" t="s">
        <v>686</v>
      </c>
      <c r="E29" s="803">
        <f>E12+E20</f>
        <v>463.36700000000002</v>
      </c>
      <c r="F29" s="792" t="s">
        <v>687</v>
      </c>
      <c r="G29" s="771"/>
    </row>
    <row r="30" spans="2:8">
      <c r="B30" s="778" t="s">
        <v>714</v>
      </c>
      <c r="C30" s="802" t="s">
        <v>692</v>
      </c>
      <c r="D30" s="778" t="s">
        <v>686</v>
      </c>
      <c r="E30" s="803">
        <f>E13+E21</f>
        <v>14.95</v>
      </c>
      <c r="F30" s="792" t="s">
        <v>687</v>
      </c>
      <c r="G30" s="771"/>
    </row>
    <row r="31" spans="2:8" ht="15.75" thickBot="1">
      <c r="B31" s="804" t="s">
        <v>715</v>
      </c>
      <c r="C31" s="805" t="s">
        <v>694</v>
      </c>
      <c r="D31" s="804" t="s">
        <v>686</v>
      </c>
      <c r="E31" s="803">
        <f t="shared" ref="E31" si="0">E14+E22</f>
        <v>318.10000000000002</v>
      </c>
      <c r="F31" s="806" t="s">
        <v>687</v>
      </c>
    </row>
    <row r="32" spans="2:8" ht="21" customHeight="1">
      <c r="B32" s="772" t="s">
        <v>140</v>
      </c>
      <c r="C32" s="807" t="s">
        <v>716</v>
      </c>
      <c r="D32" s="772" t="s">
        <v>686</v>
      </c>
      <c r="E32" s="801">
        <f>E33+E34+E35</f>
        <v>1046.0529999999999</v>
      </c>
      <c r="F32" s="808" t="s">
        <v>687</v>
      </c>
    </row>
    <row r="33" spans="2:6">
      <c r="B33" s="778" t="s">
        <v>717</v>
      </c>
      <c r="C33" s="802" t="s">
        <v>718</v>
      </c>
      <c r="D33" s="778" t="s">
        <v>686</v>
      </c>
      <c r="E33" s="809">
        <f>E15+E23</f>
        <v>302.649</v>
      </c>
      <c r="F33" s="794" t="s">
        <v>687</v>
      </c>
    </row>
    <row r="34" spans="2:6">
      <c r="B34" s="778" t="s">
        <v>719</v>
      </c>
      <c r="C34" s="802" t="s">
        <v>698</v>
      </c>
      <c r="D34" s="778" t="s">
        <v>686</v>
      </c>
      <c r="E34" s="809">
        <f t="shared" ref="E34" si="1">E16+E24</f>
        <v>743.404</v>
      </c>
      <c r="F34" s="794" t="s">
        <v>687</v>
      </c>
    </row>
    <row r="35" spans="2:6" ht="15.75" thickBot="1">
      <c r="B35" s="804" t="s">
        <v>720</v>
      </c>
      <c r="C35" s="805" t="s">
        <v>700</v>
      </c>
      <c r="D35" s="804" t="s">
        <v>686</v>
      </c>
      <c r="E35" s="809">
        <f>E17+E25</f>
        <v>0</v>
      </c>
      <c r="F35" s="794" t="s">
        <v>687</v>
      </c>
    </row>
    <row r="36" spans="2:6" ht="15.75" thickBot="1">
      <c r="B36" s="766" t="s">
        <v>607</v>
      </c>
      <c r="C36" s="810" t="s">
        <v>721</v>
      </c>
      <c r="D36" s="766" t="s">
        <v>686</v>
      </c>
      <c r="E36" s="811">
        <f>E18+E26</f>
        <v>0</v>
      </c>
      <c r="F36" s="812" t="s">
        <v>687</v>
      </c>
    </row>
    <row r="37" spans="2:6" ht="15.75" thickBot="1">
      <c r="B37" s="797" t="s">
        <v>722</v>
      </c>
      <c r="C37" s="773" t="s">
        <v>723</v>
      </c>
      <c r="D37" s="797" t="s">
        <v>686</v>
      </c>
      <c r="E37" s="813"/>
      <c r="F37" s="812" t="s">
        <v>687</v>
      </c>
    </row>
    <row r="38" spans="2:6" ht="15.75" thickBot="1">
      <c r="B38" s="766" t="s">
        <v>724</v>
      </c>
      <c r="C38" s="814" t="s">
        <v>725</v>
      </c>
      <c r="D38" s="766" t="s">
        <v>686</v>
      </c>
      <c r="E38" s="815">
        <v>11.394</v>
      </c>
      <c r="F38" s="812" t="s">
        <v>726</v>
      </c>
    </row>
    <row r="39" spans="2:6" ht="15.75" thickBot="1">
      <c r="B39" s="816" t="s">
        <v>59</v>
      </c>
      <c r="C39" s="817" t="s">
        <v>727</v>
      </c>
      <c r="D39" s="816" t="s">
        <v>686</v>
      </c>
      <c r="E39" s="818">
        <v>144.53399999999999</v>
      </c>
      <c r="F39" s="819"/>
    </row>
    <row r="40" spans="2:6" ht="15.75" thickBot="1">
      <c r="B40" s="816" t="s">
        <v>63</v>
      </c>
      <c r="C40" s="817" t="s">
        <v>728</v>
      </c>
      <c r="D40" s="816" t="s">
        <v>686</v>
      </c>
      <c r="E40" s="818"/>
      <c r="F40" s="820"/>
    </row>
    <row r="41" spans="2:6" ht="15.75" thickBot="1">
      <c r="B41" s="816" t="s">
        <v>77</v>
      </c>
      <c r="C41" s="817" t="s">
        <v>729</v>
      </c>
      <c r="D41" s="816" t="s">
        <v>686</v>
      </c>
      <c r="E41" s="821">
        <f>E27+E39-E40</f>
        <v>1998.3979999999997</v>
      </c>
      <c r="F41" s="820"/>
    </row>
    <row r="42" spans="2:6" ht="15.75" thickBot="1">
      <c r="B42" s="816" t="s">
        <v>79</v>
      </c>
      <c r="C42" s="822" t="s">
        <v>730</v>
      </c>
      <c r="D42" s="810"/>
      <c r="E42" s="823"/>
      <c r="F42" s="824"/>
    </row>
    <row r="43" spans="2:6" s="4" customFormat="1">
      <c r="B43" s="772" t="s">
        <v>731</v>
      </c>
      <c r="C43" s="800" t="s">
        <v>732</v>
      </c>
      <c r="D43" s="772" t="s">
        <v>733</v>
      </c>
      <c r="E43" s="825">
        <f>IF((E44+E45)=0,"0",(((E20+E22)*100)/E46)/(E44+E45+E48))</f>
        <v>0.59855240731382764</v>
      </c>
      <c r="F43" s="776"/>
    </row>
    <row r="44" spans="2:6">
      <c r="B44" s="778" t="s">
        <v>734</v>
      </c>
      <c r="C44" s="802" t="s">
        <v>735</v>
      </c>
      <c r="D44" s="826" t="s">
        <v>736</v>
      </c>
      <c r="E44" s="803">
        <f>VAS078_F_Vidutinissvert1AtaskaitinisLaikotarpis</f>
        <v>53.23</v>
      </c>
      <c r="F44" s="803" t="s">
        <v>737</v>
      </c>
    </row>
    <row r="45" spans="2:6">
      <c r="B45" s="804" t="s">
        <v>738</v>
      </c>
      <c r="C45" s="805" t="s">
        <v>739</v>
      </c>
      <c r="D45" s="827" t="s">
        <v>736</v>
      </c>
      <c r="E45" s="828">
        <f>VAS078_F_Vidutinissvert3AtaskaitinisLaikotarpis</f>
        <v>50</v>
      </c>
      <c r="F45" s="828" t="s">
        <v>737</v>
      </c>
    </row>
    <row r="46" spans="2:6" ht="15.75" thickBot="1">
      <c r="B46" s="778" t="s">
        <v>740</v>
      </c>
      <c r="C46" s="802" t="s">
        <v>741</v>
      </c>
      <c r="D46" s="778" t="s">
        <v>742</v>
      </c>
      <c r="E46" s="803">
        <f>VAS077_F_Patiektogeriam1AtaskaitinisLaikotarpis</f>
        <v>1217.5650000000001</v>
      </c>
      <c r="F46" s="803" t="s">
        <v>743</v>
      </c>
    </row>
    <row r="47" spans="2:6" s="4" customFormat="1">
      <c r="B47" s="772" t="s">
        <v>744</v>
      </c>
      <c r="C47" s="800" t="s">
        <v>745</v>
      </c>
      <c r="D47" s="772" t="s">
        <v>746</v>
      </c>
      <c r="E47" s="825">
        <f>IF(E48=0,"0",E21/E49)</f>
        <v>1.197149263292761E-2</v>
      </c>
      <c r="F47" s="776"/>
    </row>
    <row r="48" spans="2:6">
      <c r="B48" s="778" t="s">
        <v>747</v>
      </c>
      <c r="C48" s="802" t="s">
        <v>748</v>
      </c>
      <c r="D48" s="826" t="s">
        <v>736</v>
      </c>
      <c r="E48" s="803">
        <f>VAS078_F_Vidutinissvert2AtaskaitinisLaikotarpis</f>
        <v>4</v>
      </c>
      <c r="F48" s="803" t="s">
        <v>737</v>
      </c>
    </row>
    <row r="49" spans="2:6" ht="15.75" thickBot="1">
      <c r="B49" s="778" t="s">
        <v>749</v>
      </c>
      <c r="C49" s="802" t="s">
        <v>750</v>
      </c>
      <c r="D49" s="778" t="s">
        <v>742</v>
      </c>
      <c r="E49" s="803">
        <f>VAS077_F_Paruostogeriam1AtaskaitinisLaikotarpis</f>
        <v>1248.8</v>
      </c>
      <c r="F49" s="803" t="s">
        <v>743</v>
      </c>
    </row>
    <row r="50" spans="2:6" s="4" customFormat="1">
      <c r="B50" s="772" t="s">
        <v>751</v>
      </c>
      <c r="C50" s="800" t="s">
        <v>752</v>
      </c>
      <c r="D50" s="772" t="s">
        <v>733</v>
      </c>
      <c r="E50" s="825">
        <f>IF(E51=0,"0",((E23*100)/E53)/E51)</f>
        <v>2.9460410956684098</v>
      </c>
      <c r="F50" s="776"/>
    </row>
    <row r="51" spans="2:6">
      <c r="B51" s="778" t="s">
        <v>753</v>
      </c>
      <c r="C51" s="802" t="s">
        <v>754</v>
      </c>
      <c r="D51" s="826" t="s">
        <v>736</v>
      </c>
      <c r="E51" s="803">
        <f>VAS078_F_Vidutinissvert4AtaskaitinisLaikotarpis</f>
        <v>17.813300000000002</v>
      </c>
      <c r="F51" s="803" t="s">
        <v>737</v>
      </c>
    </row>
    <row r="52" spans="2:6">
      <c r="B52" s="778" t="s">
        <v>755</v>
      </c>
      <c r="C52" s="802" t="s">
        <v>756</v>
      </c>
      <c r="D52" s="778" t="s">
        <v>742</v>
      </c>
      <c r="E52" s="803">
        <f>VAS077_F_Surinktabuitin1AtaskaitinisLaikotarpis</f>
        <v>556.67700000000002</v>
      </c>
      <c r="F52" s="803" t="s">
        <v>743</v>
      </c>
    </row>
    <row r="53" spans="2:6" s="4" customFormat="1" ht="15.75" thickBot="1">
      <c r="B53" s="778" t="s">
        <v>757</v>
      </c>
      <c r="C53" s="802" t="s">
        <v>758</v>
      </c>
      <c r="D53" s="778" t="s">
        <v>742</v>
      </c>
      <c r="E53" s="803">
        <f>VAS077_F_Perpumpuotasbu1AtaskaitinisLaikotarpis</f>
        <v>556.70000000000005</v>
      </c>
      <c r="F53" s="803" t="s">
        <v>743</v>
      </c>
    </row>
    <row r="54" spans="2:6" s="4" customFormat="1">
      <c r="B54" s="772" t="s">
        <v>759</v>
      </c>
      <c r="C54" s="800" t="s">
        <v>760</v>
      </c>
      <c r="D54" s="772" t="s">
        <v>761</v>
      </c>
      <c r="E54" s="825">
        <f>IF(E55=0,"0",((E24*1000)/E55))</f>
        <v>2156.3685120943214</v>
      </c>
      <c r="F54" s="776"/>
    </row>
    <row r="55" spans="2:6" ht="15.75" thickBot="1">
      <c r="B55" s="778" t="s">
        <v>762</v>
      </c>
      <c r="C55" s="802" t="s">
        <v>763</v>
      </c>
      <c r="D55" s="826" t="s">
        <v>764</v>
      </c>
      <c r="E55" s="803">
        <f>VAS078_F_Pagalbiochemin3AtaskaitinisLaikotarpis</f>
        <v>301.62006000000002</v>
      </c>
      <c r="F55" s="803" t="s">
        <v>737</v>
      </c>
    </row>
    <row r="56" spans="2:6">
      <c r="B56" s="772" t="s">
        <v>765</v>
      </c>
      <c r="C56" s="800" t="s">
        <v>766</v>
      </c>
      <c r="D56" s="772" t="s">
        <v>767</v>
      </c>
      <c r="E56" s="776">
        <f>IFERROR(E57/(E27-E40), 0)</f>
        <v>0.10176482390294003</v>
      </c>
      <c r="F56" s="776"/>
    </row>
    <row r="57" spans="2:6" ht="15.75" thickBot="1">
      <c r="B57" s="829" t="s">
        <v>768</v>
      </c>
      <c r="C57" s="830" t="s">
        <v>769</v>
      </c>
      <c r="D57" s="831" t="s">
        <v>770</v>
      </c>
      <c r="E57" s="832">
        <f>VAS073_F_Elektrosenergi12ApskaitosVeikla+VAS073_F_Elektrosenergi13IsViso+VAS073_F_Elektrosenergi14IsViso+VAS073_F_Elektrosenergi15PavirsiniuNuoteku</f>
        <v>188.65814349999999</v>
      </c>
      <c r="F57" s="832" t="s">
        <v>148</v>
      </c>
    </row>
    <row r="59" spans="2:6">
      <c r="C59" s="833" t="s">
        <v>771</v>
      </c>
      <c r="E59" s="834"/>
    </row>
    <row r="60" spans="2:6">
      <c r="E60" s="834"/>
    </row>
    <row r="61" spans="2:6">
      <c r="E61" s="834"/>
    </row>
    <row r="62" spans="2:6">
      <c r="E62" s="834"/>
    </row>
  </sheetData>
  <sheetProtection password="F757" sheet="1" objects="1" scenarios="1"/>
  <mergeCells count="5">
    <mergeCell ref="B8:F8"/>
    <mergeCell ref="A1:F1"/>
    <mergeCell ref="A2:F2"/>
    <mergeCell ref="A3:F3"/>
    <mergeCell ref="A5:F5"/>
  </mergeCells>
  <pageMargins left="0.70866141732283472" right="0.70866141732283472" top="0.15748031496062992" bottom="0.15748031496062992" header="0.31496062992125984" footer="0.31496062992125984"/>
  <pageSetup paperSize="8" scale="90" orientation="landscape" r:id="rId1"/>
</worksheet>
</file>

<file path=xl/worksheets/sheet8.xml><?xml version="1.0" encoding="utf-8"?>
<worksheet xmlns="http://schemas.openxmlformats.org/spreadsheetml/2006/main" xmlns:r="http://schemas.openxmlformats.org/officeDocument/2006/relationships">
  <dimension ref="A1:K46"/>
  <sheetViews>
    <sheetView topLeftCell="A16" workbookViewId="0">
      <selection sqref="A1:F1"/>
    </sheetView>
  </sheetViews>
  <sheetFormatPr defaultColWidth="9.140625" defaultRowHeight="15"/>
  <cols>
    <col min="1" max="1" width="9.140625" style="432"/>
    <col min="2" max="2" width="6.7109375" style="432" customWidth="1"/>
    <col min="3" max="3" width="88.5703125" style="432" customWidth="1"/>
    <col min="4" max="4" width="17.28515625" style="432" customWidth="1"/>
    <col min="5" max="5" width="24" style="432" customWidth="1"/>
    <col min="6" max="6" width="29.140625" style="432" customWidth="1"/>
    <col min="7" max="7" width="23.140625" style="432" customWidth="1"/>
    <col min="8" max="16384" width="9.140625" style="432"/>
  </cols>
  <sheetData>
    <row r="1" spans="1:11">
      <c r="A1" s="1339" t="s">
        <v>0</v>
      </c>
      <c r="B1" s="1340"/>
      <c r="C1" s="1340"/>
      <c r="D1" s="1340"/>
      <c r="E1" s="1340"/>
      <c r="F1" s="1341"/>
    </row>
    <row r="2" spans="1:11">
      <c r="A2" s="1339" t="s">
        <v>1</v>
      </c>
      <c r="B2" s="1340"/>
      <c r="C2" s="1340"/>
      <c r="D2" s="1340"/>
      <c r="E2" s="1340"/>
      <c r="F2" s="1341"/>
    </row>
    <row r="3" spans="1:11">
      <c r="A3" s="1342"/>
      <c r="B3" s="1343"/>
      <c r="C3" s="1343"/>
      <c r="D3" s="1343"/>
      <c r="E3" s="1343"/>
      <c r="F3" s="1344"/>
    </row>
    <row r="4" spans="1:11">
      <c r="A4" s="835"/>
      <c r="B4" s="835"/>
      <c r="C4" s="835"/>
      <c r="D4" s="835"/>
      <c r="E4" s="835"/>
      <c r="F4" s="835"/>
    </row>
    <row r="5" spans="1:11">
      <c r="A5" s="1345" t="s">
        <v>772</v>
      </c>
      <c r="B5" s="1346"/>
      <c r="C5" s="1346"/>
      <c r="D5" s="1346"/>
      <c r="E5" s="1346"/>
      <c r="F5" s="1347"/>
    </row>
    <row r="6" spans="1:11">
      <c r="A6" s="835"/>
      <c r="B6" s="835"/>
      <c r="C6" s="835"/>
      <c r="D6" s="835"/>
      <c r="E6" s="835"/>
      <c r="F6" s="835"/>
    </row>
    <row r="8" spans="1:11" ht="15.75" thickBot="1">
      <c r="B8" s="1338" t="s">
        <v>773</v>
      </c>
      <c r="C8" s="1338"/>
      <c r="D8" s="1338"/>
      <c r="E8" s="1338"/>
      <c r="F8" s="1338"/>
    </row>
    <row r="9" spans="1:11" ht="21" customHeight="1" thickBot="1">
      <c r="B9" s="836" t="s">
        <v>4</v>
      </c>
      <c r="C9" s="836" t="s">
        <v>681</v>
      </c>
      <c r="D9" s="837" t="s">
        <v>682</v>
      </c>
      <c r="E9" s="838" t="s">
        <v>49</v>
      </c>
      <c r="F9" s="838" t="s">
        <v>683</v>
      </c>
      <c r="G9" s="839"/>
    </row>
    <row r="10" spans="1:11" ht="15.75" thickBot="1">
      <c r="B10" s="836" t="s">
        <v>684</v>
      </c>
      <c r="C10" s="836" t="s">
        <v>774</v>
      </c>
      <c r="D10" s="836" t="s">
        <v>775</v>
      </c>
      <c r="E10" s="840">
        <f>E11+E25</f>
        <v>84.5</v>
      </c>
      <c r="F10" s="838"/>
      <c r="G10" s="839"/>
    </row>
    <row r="11" spans="1:11" ht="15.75" thickBot="1">
      <c r="B11" s="841" t="s">
        <v>776</v>
      </c>
      <c r="C11" s="841" t="s">
        <v>777</v>
      </c>
      <c r="D11" s="841" t="s">
        <v>775</v>
      </c>
      <c r="E11" s="842">
        <f>E13+E17+E21+E22+E23+E24</f>
        <v>68</v>
      </c>
      <c r="F11" s="843"/>
      <c r="G11" s="844"/>
    </row>
    <row r="12" spans="1:11" ht="15.75" thickBot="1">
      <c r="B12" s="845" t="s">
        <v>778</v>
      </c>
      <c r="C12" s="845" t="s">
        <v>779</v>
      </c>
      <c r="D12" s="845" t="s">
        <v>775</v>
      </c>
      <c r="E12" s="846">
        <f>E13+E17+E22+E21</f>
        <v>42</v>
      </c>
      <c r="F12" s="847"/>
      <c r="G12" s="839"/>
    </row>
    <row r="13" spans="1:11" ht="18.75" customHeight="1">
      <c r="B13" s="848" t="s">
        <v>138</v>
      </c>
      <c r="C13" s="848" t="s">
        <v>712</v>
      </c>
      <c r="D13" s="849" t="s">
        <v>775</v>
      </c>
      <c r="E13" s="850">
        <f>SUM(E14:E16)</f>
        <v>8</v>
      </c>
      <c r="F13" s="851"/>
      <c r="G13" s="839"/>
    </row>
    <row r="14" spans="1:11">
      <c r="B14" s="852" t="s">
        <v>713</v>
      </c>
      <c r="C14" s="853" t="s">
        <v>690</v>
      </c>
      <c r="D14" s="852" t="s">
        <v>775</v>
      </c>
      <c r="E14" s="854">
        <v>3</v>
      </c>
      <c r="F14" s="855"/>
      <c r="G14" s="839"/>
    </row>
    <row r="15" spans="1:11">
      <c r="B15" s="852" t="s">
        <v>714</v>
      </c>
      <c r="C15" s="853" t="s">
        <v>692</v>
      </c>
      <c r="D15" s="852" t="s">
        <v>775</v>
      </c>
      <c r="E15" s="854">
        <v>0</v>
      </c>
      <c r="F15" s="855"/>
      <c r="G15" s="839"/>
      <c r="K15" s="856"/>
    </row>
    <row r="16" spans="1:11" ht="15.75" thickBot="1">
      <c r="B16" s="857" t="s">
        <v>715</v>
      </c>
      <c r="C16" s="858" t="s">
        <v>694</v>
      </c>
      <c r="D16" s="857" t="s">
        <v>775</v>
      </c>
      <c r="E16" s="859">
        <v>5</v>
      </c>
      <c r="F16" s="860"/>
    </row>
    <row r="17" spans="2:6" ht="23.25" customHeight="1">
      <c r="B17" s="861" t="s">
        <v>140</v>
      </c>
      <c r="C17" s="861" t="s">
        <v>716</v>
      </c>
      <c r="D17" s="862" t="s">
        <v>775</v>
      </c>
      <c r="E17" s="863">
        <f>SUM(E18:E20)</f>
        <v>23</v>
      </c>
      <c r="F17" s="864"/>
    </row>
    <row r="18" spans="2:6">
      <c r="B18" s="852" t="s">
        <v>717</v>
      </c>
      <c r="C18" s="853" t="s">
        <v>718</v>
      </c>
      <c r="D18" s="852" t="s">
        <v>775</v>
      </c>
      <c r="E18" s="854">
        <v>12</v>
      </c>
      <c r="F18" s="855"/>
    </row>
    <row r="19" spans="2:6">
      <c r="B19" s="852" t="s">
        <v>719</v>
      </c>
      <c r="C19" s="853" t="s">
        <v>698</v>
      </c>
      <c r="D19" s="852" t="s">
        <v>775</v>
      </c>
      <c r="E19" s="854">
        <v>7</v>
      </c>
      <c r="F19" s="855"/>
    </row>
    <row r="20" spans="2:6" ht="15.75" thickBot="1">
      <c r="B20" s="852" t="s">
        <v>720</v>
      </c>
      <c r="C20" s="853" t="s">
        <v>700</v>
      </c>
      <c r="D20" s="852" t="s">
        <v>775</v>
      </c>
      <c r="E20" s="854">
        <v>4</v>
      </c>
      <c r="F20" s="855"/>
    </row>
    <row r="21" spans="2:6" ht="15.75" thickBot="1">
      <c r="B21" s="865" t="s">
        <v>607</v>
      </c>
      <c r="C21" s="865" t="s">
        <v>721</v>
      </c>
      <c r="D21" s="866" t="s">
        <v>775</v>
      </c>
      <c r="E21" s="867"/>
      <c r="F21" s="838"/>
    </row>
    <row r="22" spans="2:6" ht="15.75" thickBot="1">
      <c r="B22" s="865" t="s">
        <v>722</v>
      </c>
      <c r="C22" s="868" t="s">
        <v>723</v>
      </c>
      <c r="D22" s="865" t="s">
        <v>775</v>
      </c>
      <c r="E22" s="867">
        <v>11</v>
      </c>
      <c r="F22" s="838"/>
    </row>
    <row r="23" spans="2:6" ht="15.75" thickBot="1">
      <c r="B23" s="836" t="s">
        <v>780</v>
      </c>
      <c r="C23" s="836" t="s">
        <v>781</v>
      </c>
      <c r="D23" s="836" t="s">
        <v>775</v>
      </c>
      <c r="E23" s="867">
        <v>13</v>
      </c>
      <c r="F23" s="838"/>
    </row>
    <row r="24" spans="2:6" ht="15.75" thickBot="1">
      <c r="B24" s="836" t="s">
        <v>302</v>
      </c>
      <c r="C24" s="869" t="s">
        <v>782</v>
      </c>
      <c r="D24" s="836" t="s">
        <v>775</v>
      </c>
      <c r="E24" s="867">
        <v>13</v>
      </c>
      <c r="F24" s="838"/>
    </row>
    <row r="25" spans="2:6" ht="15.75" thickBot="1">
      <c r="B25" s="845" t="s">
        <v>783</v>
      </c>
      <c r="C25" s="845" t="s">
        <v>784</v>
      </c>
      <c r="D25" s="845" t="s">
        <v>775</v>
      </c>
      <c r="E25" s="870">
        <v>16.5</v>
      </c>
      <c r="F25" s="847"/>
    </row>
    <row r="26" spans="2:6" ht="17.25" customHeight="1" thickBot="1">
      <c r="B26" s="836" t="s">
        <v>785</v>
      </c>
      <c r="C26" s="871" t="s">
        <v>786</v>
      </c>
      <c r="D26" s="871"/>
      <c r="E26" s="872"/>
      <c r="F26" s="873"/>
    </row>
    <row r="27" spans="2:6">
      <c r="B27" s="874" t="s">
        <v>787</v>
      </c>
      <c r="C27" s="874" t="s">
        <v>788</v>
      </c>
      <c r="D27" s="874" t="s">
        <v>789</v>
      </c>
      <c r="E27" s="875">
        <f>IFERROR(E28/E13/12*1000, 0)</f>
        <v>1225.4166666666665</v>
      </c>
      <c r="F27" s="876"/>
    </row>
    <row r="28" spans="2:6" ht="15.75" thickBot="1">
      <c r="B28" s="877" t="s">
        <v>790</v>
      </c>
      <c r="C28" s="878" t="s">
        <v>791</v>
      </c>
      <c r="D28" s="877" t="s">
        <v>770</v>
      </c>
      <c r="E28" s="879">
        <f>VAS073_F_Darbouzmokesci23IsViso</f>
        <v>117.64</v>
      </c>
      <c r="F28" s="880" t="s">
        <v>148</v>
      </c>
    </row>
    <row r="29" spans="2:6">
      <c r="B29" s="861" t="s">
        <v>69</v>
      </c>
      <c r="C29" s="849" t="s">
        <v>792</v>
      </c>
      <c r="D29" s="849" t="s">
        <v>789</v>
      </c>
      <c r="E29" s="881">
        <f>IFERROR(E30/E17/12*1000, 0)</f>
        <v>972.21014492753625</v>
      </c>
      <c r="F29" s="882"/>
    </row>
    <row r="30" spans="2:6" ht="15.75" thickBot="1">
      <c r="B30" s="883" t="s">
        <v>580</v>
      </c>
      <c r="C30" s="878" t="s">
        <v>793</v>
      </c>
      <c r="D30" s="877" t="s">
        <v>770</v>
      </c>
      <c r="E30" s="884">
        <f>VAS073_F_Darbouzmokesci24IsViso</f>
        <v>268.33</v>
      </c>
      <c r="F30" s="880" t="s">
        <v>148</v>
      </c>
    </row>
    <row r="31" spans="2:6">
      <c r="B31" s="845" t="s">
        <v>71</v>
      </c>
      <c r="C31" s="885" t="s">
        <v>794</v>
      </c>
      <c r="D31" s="849" t="s">
        <v>789</v>
      </c>
      <c r="E31" s="886">
        <f>IFERROR(E32/E21/12*1000, 0)</f>
        <v>0</v>
      </c>
      <c r="F31" s="882"/>
    </row>
    <row r="32" spans="2:6" ht="15.75" thickBot="1">
      <c r="B32" s="883" t="s">
        <v>795</v>
      </c>
      <c r="C32" s="878" t="s">
        <v>796</v>
      </c>
      <c r="D32" s="877" t="s">
        <v>770</v>
      </c>
      <c r="E32" s="884">
        <f>VAS073_F_Darbouzmokesci25PavirsiniuNuoteku</f>
        <v>0</v>
      </c>
      <c r="F32" s="880" t="s">
        <v>148</v>
      </c>
    </row>
    <row r="33" spans="2:6">
      <c r="B33" s="849" t="s">
        <v>73</v>
      </c>
      <c r="C33" s="887" t="s">
        <v>797</v>
      </c>
      <c r="D33" s="845" t="s">
        <v>789</v>
      </c>
      <c r="E33" s="888">
        <f>IFERROR(E34/E22/12*1000, 0)</f>
        <v>1023.2575757575758</v>
      </c>
      <c r="F33" s="889"/>
    </row>
    <row r="34" spans="2:6" ht="15.75" thickBot="1">
      <c r="B34" s="883" t="s">
        <v>798</v>
      </c>
      <c r="C34" s="878" t="s">
        <v>799</v>
      </c>
      <c r="D34" s="877" t="s">
        <v>770</v>
      </c>
      <c r="E34" s="884">
        <f>VAS073_F_Darbouzmokesci22ApskaitosVeikla</f>
        <v>135.07</v>
      </c>
      <c r="F34" s="880" t="s">
        <v>148</v>
      </c>
    </row>
    <row r="35" spans="2:6">
      <c r="B35" s="849" t="s">
        <v>75</v>
      </c>
      <c r="C35" s="862" t="s">
        <v>800</v>
      </c>
      <c r="D35" s="849" t="s">
        <v>789</v>
      </c>
      <c r="E35" s="890">
        <f>IFERROR(E36/E23/12*1000, 0)</f>
        <v>666.69618653846157</v>
      </c>
      <c r="F35" s="882"/>
    </row>
    <row r="36" spans="2:6" ht="15.75" thickBot="1">
      <c r="B36" s="883" t="s">
        <v>801</v>
      </c>
      <c r="C36" s="878" t="s">
        <v>802</v>
      </c>
      <c r="D36" s="877" t="s">
        <v>770</v>
      </c>
      <c r="E36" s="884">
        <f>VAS073_F_Darbouzmokesci32ApskaitosVeikla+VAS073_F_Darbouzmokesci33IsViso+VAS073_F_Darbouzmokesci34IsViso+VAS073_F_Darbouzmokesci35PavirsiniuNuoteku</f>
        <v>104.00460510000001</v>
      </c>
      <c r="F36" s="880" t="s">
        <v>148</v>
      </c>
    </row>
    <row r="37" spans="2:6">
      <c r="B37" s="849" t="s">
        <v>466</v>
      </c>
      <c r="C37" s="862" t="s">
        <v>803</v>
      </c>
      <c r="D37" s="849" t="s">
        <v>789</v>
      </c>
      <c r="E37" s="890">
        <f>IFERROR(E38/E24/12*1000, 0)</f>
        <v>1291.9948861065873</v>
      </c>
      <c r="F37" s="882"/>
    </row>
    <row r="38" spans="2:6" ht="15.75" thickBot="1">
      <c r="B38" s="883" t="s">
        <v>804</v>
      </c>
      <c r="C38" s="878" t="s">
        <v>805</v>
      </c>
      <c r="D38" s="877" t="s">
        <v>770</v>
      </c>
      <c r="E38" s="884">
        <f>VAS073_F_Darbouzmokesci52ApskaitosVeikla+VAS073_F_Darbouzmokesci53IsViso+VAS073_F_Darbouzmokesci54IsViso+VAS073_F_Darbouzmokesci55PavirsiniuNuoteku</f>
        <v>201.55120223262762</v>
      </c>
      <c r="F38" s="880" t="s">
        <v>148</v>
      </c>
    </row>
    <row r="39" spans="2:6" ht="15.75" thickBot="1">
      <c r="B39" s="891" t="s">
        <v>470</v>
      </c>
      <c r="C39" s="892" t="s">
        <v>806</v>
      </c>
      <c r="D39" s="893" t="s">
        <v>789</v>
      </c>
      <c r="E39" s="894">
        <f>IFERROR((E28+E30+E32+E34+E36+E38)/E11/12*1000, 0)</f>
        <v>1012.9850580056711</v>
      </c>
      <c r="F39" s="895"/>
    </row>
    <row r="40" spans="2:6" ht="26.25" thickBot="1">
      <c r="B40" s="836" t="s">
        <v>474</v>
      </c>
      <c r="C40" s="896" t="s">
        <v>807</v>
      </c>
      <c r="D40" s="836" t="s">
        <v>775</v>
      </c>
      <c r="E40" s="897">
        <f>IFERROR((E12+E23)/E24, 0)</f>
        <v>4.2307692307692308</v>
      </c>
      <c r="F40" s="838"/>
    </row>
    <row r="41" spans="2:6">
      <c r="C41" s="839"/>
    </row>
    <row r="42" spans="2:6">
      <c r="C42" s="898" t="s">
        <v>771</v>
      </c>
    </row>
    <row r="43" spans="2:6">
      <c r="E43" s="899"/>
    </row>
    <row r="44" spans="2:6">
      <c r="E44" s="899"/>
    </row>
    <row r="45" spans="2:6">
      <c r="E45" s="899"/>
    </row>
    <row r="46" spans="2:6">
      <c r="E46" s="899"/>
    </row>
  </sheetData>
  <sheetProtection password="F757" sheet="1" objects="1" scenarios="1"/>
  <mergeCells count="5">
    <mergeCell ref="B8:F8"/>
    <mergeCell ref="A1:F1"/>
    <mergeCell ref="A2:F2"/>
    <mergeCell ref="A3:F3"/>
    <mergeCell ref="A5:F5"/>
  </mergeCells>
  <pageMargins left="0.31496062992125984" right="0.31496062992125984" top="0.35433070866141736" bottom="0.35433070866141736"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dimension ref="A1:G83"/>
  <sheetViews>
    <sheetView workbookViewId="0">
      <selection activeCell="F21" sqref="F21"/>
    </sheetView>
  </sheetViews>
  <sheetFormatPr defaultColWidth="9.140625" defaultRowHeight="15"/>
  <cols>
    <col min="1" max="1" width="9.140625" style="432"/>
    <col min="2" max="2" width="10.42578125" style="432" customWidth="1"/>
    <col min="3" max="3" width="64.85546875" style="432" customWidth="1"/>
    <col min="4" max="4" width="16" style="432" customWidth="1"/>
    <col min="5" max="5" width="22.140625" style="432" customWidth="1"/>
    <col min="6" max="6" width="34.28515625" style="432" customWidth="1"/>
    <col min="7" max="7" width="14.85546875" style="432" customWidth="1"/>
    <col min="8" max="16384" width="9.140625" style="432"/>
  </cols>
  <sheetData>
    <row r="1" spans="1:7">
      <c r="A1" s="1348" t="s">
        <v>0</v>
      </c>
      <c r="B1" s="1349"/>
      <c r="C1" s="1349"/>
      <c r="D1" s="1349"/>
      <c r="E1" s="1350"/>
    </row>
    <row r="2" spans="1:7">
      <c r="A2" s="1348" t="s">
        <v>1</v>
      </c>
      <c r="B2" s="1349"/>
      <c r="C2" s="1349"/>
      <c r="D2" s="1349"/>
      <c r="E2" s="1350"/>
    </row>
    <row r="3" spans="1:7">
      <c r="A3" s="1351"/>
      <c r="B3" s="1352"/>
      <c r="C3" s="1352"/>
      <c r="D3" s="1352"/>
      <c r="E3" s="1353"/>
    </row>
    <row r="4" spans="1:7">
      <c r="A4" s="900"/>
      <c r="B4" s="900"/>
      <c r="C4" s="900"/>
      <c r="D4" s="900"/>
      <c r="E4" s="900"/>
    </row>
    <row r="5" spans="1:7">
      <c r="A5" s="1354" t="s">
        <v>808</v>
      </c>
      <c r="B5" s="1355"/>
      <c r="C5" s="1355"/>
      <c r="D5" s="1355"/>
      <c r="E5" s="1356"/>
    </row>
    <row r="6" spans="1:7">
      <c r="A6" s="900"/>
      <c r="B6" s="900"/>
      <c r="C6" s="900"/>
      <c r="D6" s="900"/>
      <c r="E6" s="900"/>
    </row>
    <row r="8" spans="1:7" ht="27" customHeight="1" thickBot="1">
      <c r="B8" s="1275" t="s">
        <v>809</v>
      </c>
      <c r="C8" s="1275"/>
      <c r="D8" s="1275"/>
      <c r="E8" s="1275"/>
    </row>
    <row r="9" spans="1:7" ht="15.75" thickBot="1">
      <c r="B9" s="901" t="s">
        <v>4</v>
      </c>
      <c r="C9" s="902" t="s">
        <v>810</v>
      </c>
      <c r="D9" s="903" t="s">
        <v>682</v>
      </c>
      <c r="E9" s="904" t="s">
        <v>49</v>
      </c>
      <c r="F9" s="905"/>
      <c r="G9" s="906"/>
    </row>
    <row r="10" spans="1:7" ht="16.5" customHeight="1" thickTop="1" thickBot="1">
      <c r="B10" s="907"/>
      <c r="C10" s="908" t="s">
        <v>811</v>
      </c>
      <c r="D10" s="909"/>
      <c r="E10" s="910"/>
      <c r="F10" s="905"/>
      <c r="G10" s="906"/>
    </row>
    <row r="11" spans="1:7" ht="15.75" thickTop="1">
      <c r="B11" s="911">
        <v>1</v>
      </c>
      <c r="C11" s="912" t="s">
        <v>812</v>
      </c>
      <c r="D11" s="913" t="s">
        <v>742</v>
      </c>
      <c r="E11" s="914">
        <v>1248.8</v>
      </c>
      <c r="F11" s="915"/>
      <c r="G11" s="906"/>
    </row>
    <row r="12" spans="1:7" ht="15.75" thickBot="1">
      <c r="B12" s="916">
        <v>2</v>
      </c>
      <c r="C12" s="917" t="s">
        <v>813</v>
      </c>
      <c r="D12" s="918" t="s">
        <v>742</v>
      </c>
      <c r="E12" s="919">
        <v>1248.8</v>
      </c>
      <c r="F12" s="905"/>
      <c r="G12" s="906"/>
    </row>
    <row r="13" spans="1:7">
      <c r="B13" s="920">
        <v>3</v>
      </c>
      <c r="C13" s="921" t="s">
        <v>814</v>
      </c>
      <c r="D13" s="922" t="s">
        <v>742</v>
      </c>
      <c r="E13" s="923">
        <v>1217.5650000000001</v>
      </c>
      <c r="F13" s="905"/>
      <c r="G13" s="906"/>
    </row>
    <row r="14" spans="1:7">
      <c r="B14" s="924" t="s">
        <v>815</v>
      </c>
      <c r="C14" s="925" t="s">
        <v>816</v>
      </c>
      <c r="D14" s="926" t="s">
        <v>742</v>
      </c>
      <c r="E14" s="927">
        <v>195.529</v>
      </c>
      <c r="F14" s="928"/>
      <c r="G14" s="906"/>
    </row>
    <row r="15" spans="1:7" ht="15.75" thickBot="1">
      <c r="B15" s="929" t="s">
        <v>817</v>
      </c>
      <c r="C15" s="930" t="s">
        <v>818</v>
      </c>
      <c r="D15" s="931" t="s">
        <v>742</v>
      </c>
      <c r="E15" s="932"/>
      <c r="F15" s="928"/>
    </row>
    <row r="16" spans="1:7">
      <c r="B16" s="920" t="s">
        <v>819</v>
      </c>
      <c r="C16" s="921" t="s">
        <v>820</v>
      </c>
      <c r="D16" s="933" t="s">
        <v>742</v>
      </c>
      <c r="E16" s="934">
        <f>E17+E21+E23</f>
        <v>729.28899999999999</v>
      </c>
      <c r="F16" s="905"/>
    </row>
    <row r="17" spans="2:7">
      <c r="B17" s="935" t="s">
        <v>821</v>
      </c>
      <c r="C17" s="936" t="s">
        <v>822</v>
      </c>
      <c r="D17" s="937" t="s">
        <v>742</v>
      </c>
      <c r="E17" s="938">
        <f>E18+E20</f>
        <v>466.40300000000002</v>
      </c>
      <c r="F17" s="928"/>
    </row>
    <row r="18" spans="2:7">
      <c r="B18" s="924" t="s">
        <v>823</v>
      </c>
      <c r="C18" s="925" t="s">
        <v>824</v>
      </c>
      <c r="D18" s="926" t="s">
        <v>742</v>
      </c>
      <c r="E18" s="939">
        <v>186.428</v>
      </c>
      <c r="F18" s="940"/>
    </row>
    <row r="19" spans="2:7">
      <c r="B19" s="941" t="s">
        <v>825</v>
      </c>
      <c r="C19" s="942" t="s">
        <v>818</v>
      </c>
      <c r="D19" s="943" t="s">
        <v>742</v>
      </c>
      <c r="E19" s="939"/>
      <c r="F19" s="944"/>
    </row>
    <row r="20" spans="2:7">
      <c r="B20" s="924" t="s">
        <v>826</v>
      </c>
      <c r="C20" s="925" t="s">
        <v>827</v>
      </c>
      <c r="D20" s="926" t="s">
        <v>742</v>
      </c>
      <c r="E20" s="939">
        <v>279.97500000000002</v>
      </c>
      <c r="F20" s="945"/>
    </row>
    <row r="21" spans="2:7">
      <c r="B21" s="935" t="s">
        <v>828</v>
      </c>
      <c r="C21" s="936" t="s">
        <v>829</v>
      </c>
      <c r="D21" s="937" t="s">
        <v>742</v>
      </c>
      <c r="E21" s="946">
        <v>262.88600000000002</v>
      </c>
      <c r="F21" s="928"/>
    </row>
    <row r="22" spans="2:7">
      <c r="B22" s="924" t="s">
        <v>830</v>
      </c>
      <c r="C22" s="925" t="s">
        <v>831</v>
      </c>
      <c r="D22" s="926" t="s">
        <v>742</v>
      </c>
      <c r="E22" s="939">
        <v>70.007000000000005</v>
      </c>
      <c r="F22" s="928"/>
    </row>
    <row r="23" spans="2:7" ht="15.75" thickBot="1">
      <c r="B23" s="916" t="s">
        <v>832</v>
      </c>
      <c r="C23" s="917" t="s">
        <v>833</v>
      </c>
      <c r="D23" s="918" t="s">
        <v>742</v>
      </c>
      <c r="E23" s="919"/>
    </row>
    <row r="24" spans="2:7" ht="15.75" thickBot="1">
      <c r="B24" s="947" t="s">
        <v>834</v>
      </c>
      <c r="C24" s="948" t="s">
        <v>835</v>
      </c>
      <c r="D24" s="949" t="s">
        <v>742</v>
      </c>
      <c r="E24" s="950"/>
      <c r="F24" s="928"/>
      <c r="G24" s="951"/>
    </row>
    <row r="25" spans="2:7">
      <c r="B25" s="952" t="s">
        <v>836</v>
      </c>
      <c r="C25" s="953" t="s">
        <v>837</v>
      </c>
      <c r="D25" s="954" t="s">
        <v>742</v>
      </c>
      <c r="E25" s="955">
        <f>E11-E16-E24</f>
        <v>519.51099999999997</v>
      </c>
      <c r="F25" s="905"/>
    </row>
    <row r="26" spans="2:7">
      <c r="B26" s="956" t="s">
        <v>838</v>
      </c>
      <c r="C26" s="925" t="s">
        <v>839</v>
      </c>
      <c r="D26" s="926" t="s">
        <v>742</v>
      </c>
      <c r="E26" s="957">
        <f>E11-E13</f>
        <v>31.2349999999999</v>
      </c>
      <c r="F26" s="906"/>
      <c r="G26" s="958"/>
    </row>
    <row r="27" spans="2:7">
      <c r="B27" s="956" t="s">
        <v>840</v>
      </c>
      <c r="C27" s="925" t="s">
        <v>841</v>
      </c>
      <c r="D27" s="926" t="s">
        <v>742</v>
      </c>
      <c r="E27" s="957">
        <f>E13-E16-E24-E29</f>
        <v>479.17500000000007</v>
      </c>
      <c r="F27" s="906"/>
      <c r="G27" s="958"/>
    </row>
    <row r="28" spans="2:7">
      <c r="B28" s="924" t="s">
        <v>842</v>
      </c>
      <c r="C28" s="925" t="s">
        <v>843</v>
      </c>
      <c r="D28" s="926" t="s">
        <v>742</v>
      </c>
      <c r="E28" s="959">
        <f>$E$14-$E$18</f>
        <v>9.1009999999999991</v>
      </c>
      <c r="F28" s="905"/>
    </row>
    <row r="29" spans="2:7">
      <c r="B29" s="941" t="s">
        <v>844</v>
      </c>
      <c r="C29" s="942" t="s">
        <v>845</v>
      </c>
      <c r="D29" s="943" t="s">
        <v>742</v>
      </c>
      <c r="E29" s="960">
        <f>$E$14-$E$18</f>
        <v>9.1009999999999991</v>
      </c>
      <c r="F29" s="905"/>
    </row>
    <row r="30" spans="2:7" ht="15.75" thickBot="1">
      <c r="B30" s="941" t="s">
        <v>846</v>
      </c>
      <c r="C30" s="961" t="s">
        <v>847</v>
      </c>
      <c r="D30" s="962" t="s">
        <v>742</v>
      </c>
      <c r="E30" s="963">
        <f>E15-E19</f>
        <v>0</v>
      </c>
      <c r="F30" s="905"/>
    </row>
    <row r="31" spans="2:7" ht="16.5" thickTop="1" thickBot="1">
      <c r="B31" s="907"/>
      <c r="C31" s="908" t="s">
        <v>848</v>
      </c>
      <c r="D31" s="909"/>
      <c r="E31" s="910"/>
      <c r="F31" s="905"/>
    </row>
    <row r="32" spans="2:7" ht="15.75" thickTop="1">
      <c r="B32" s="920" t="s">
        <v>849</v>
      </c>
      <c r="C32" s="921" t="s">
        <v>850</v>
      </c>
      <c r="D32" s="926" t="s">
        <v>742</v>
      </c>
      <c r="E32" s="934">
        <f>E33+E34</f>
        <v>556.67700000000002</v>
      </c>
      <c r="F32" s="905"/>
    </row>
    <row r="33" spans="2:6">
      <c r="B33" s="924" t="s">
        <v>851</v>
      </c>
      <c r="C33" s="925" t="s">
        <v>852</v>
      </c>
      <c r="D33" s="926" t="s">
        <v>742</v>
      </c>
      <c r="E33" s="964">
        <v>541.51099999999997</v>
      </c>
      <c r="F33" s="906"/>
    </row>
    <row r="34" spans="2:6" ht="15.75" thickBot="1">
      <c r="B34" s="924" t="s">
        <v>853</v>
      </c>
      <c r="C34" s="965" t="s">
        <v>854</v>
      </c>
      <c r="D34" s="926" t="s">
        <v>742</v>
      </c>
      <c r="E34" s="964">
        <v>15.166</v>
      </c>
      <c r="F34" s="906"/>
    </row>
    <row r="35" spans="2:6" ht="26.25" thickBot="1">
      <c r="B35" s="966" t="s">
        <v>855</v>
      </c>
      <c r="C35" s="967" t="s">
        <v>856</v>
      </c>
      <c r="D35" s="968" t="s">
        <v>742</v>
      </c>
      <c r="E35" s="969">
        <v>556.70000000000005</v>
      </c>
      <c r="F35" s="970"/>
    </row>
    <row r="36" spans="2:6" ht="15.75" thickBot="1">
      <c r="B36" s="947" t="s">
        <v>857</v>
      </c>
      <c r="C36" s="948" t="s">
        <v>858</v>
      </c>
      <c r="D36" s="968" t="s">
        <v>742</v>
      </c>
      <c r="E36" s="950">
        <v>556.70000000000005</v>
      </c>
      <c r="F36" s="905"/>
    </row>
    <row r="37" spans="2:6" ht="15.75" thickBot="1">
      <c r="B37" s="971" t="s">
        <v>859</v>
      </c>
      <c r="C37" s="972" t="s">
        <v>860</v>
      </c>
      <c r="D37" s="922" t="s">
        <v>742</v>
      </c>
      <c r="E37" s="973">
        <v>556.70000000000005</v>
      </c>
      <c r="F37" s="974"/>
    </row>
    <row r="38" spans="2:6" ht="26.25" thickBot="1">
      <c r="B38" s="975" t="s">
        <v>861</v>
      </c>
      <c r="C38" s="976" t="s">
        <v>862</v>
      </c>
      <c r="D38" s="977" t="s">
        <v>742</v>
      </c>
      <c r="E38" s="978">
        <f>E39+E43+E46</f>
        <v>556.67700000000002</v>
      </c>
      <c r="F38" s="906"/>
    </row>
    <row r="39" spans="2:6">
      <c r="B39" s="920" t="s">
        <v>863</v>
      </c>
      <c r="C39" s="921" t="s">
        <v>864</v>
      </c>
      <c r="D39" s="922" t="s">
        <v>742</v>
      </c>
      <c r="E39" s="934">
        <f>E40+E42</f>
        <v>337.56400000000002</v>
      </c>
      <c r="F39" s="928"/>
    </row>
    <row r="40" spans="2:6">
      <c r="B40" s="924" t="s">
        <v>865</v>
      </c>
      <c r="C40" s="925" t="s">
        <v>866</v>
      </c>
      <c r="D40" s="926" t="s">
        <v>742</v>
      </c>
      <c r="E40" s="964">
        <v>181.72900000000001</v>
      </c>
      <c r="F40" s="906"/>
    </row>
    <row r="41" spans="2:6">
      <c r="B41" s="941" t="s">
        <v>867</v>
      </c>
      <c r="C41" s="942" t="s">
        <v>868</v>
      </c>
      <c r="D41" s="943" t="s">
        <v>742</v>
      </c>
      <c r="E41" s="939"/>
      <c r="F41" s="944"/>
    </row>
    <row r="42" spans="2:6" ht="15.75" thickBot="1">
      <c r="B42" s="929" t="s">
        <v>869</v>
      </c>
      <c r="C42" s="930" t="s">
        <v>827</v>
      </c>
      <c r="D42" s="931" t="s">
        <v>742</v>
      </c>
      <c r="E42" s="932">
        <v>155.83500000000001</v>
      </c>
      <c r="F42" s="945"/>
    </row>
    <row r="43" spans="2:6">
      <c r="B43" s="920" t="s">
        <v>870</v>
      </c>
      <c r="C43" s="921" t="s">
        <v>871</v>
      </c>
      <c r="D43" s="922" t="s">
        <v>742</v>
      </c>
      <c r="E43" s="923">
        <v>219.113</v>
      </c>
      <c r="F43" s="928"/>
    </row>
    <row r="44" spans="2:6">
      <c r="B44" s="924" t="s">
        <v>872</v>
      </c>
      <c r="C44" s="979" t="s">
        <v>873</v>
      </c>
      <c r="D44" s="943" t="s">
        <v>742</v>
      </c>
      <c r="E44" s="964">
        <v>219.113</v>
      </c>
      <c r="F44" s="906"/>
    </row>
    <row r="45" spans="2:6" ht="15.75" thickBot="1">
      <c r="B45" s="980" t="s">
        <v>874</v>
      </c>
      <c r="C45" s="981" t="s">
        <v>875</v>
      </c>
      <c r="D45" s="931" t="s">
        <v>742</v>
      </c>
      <c r="E45" s="982">
        <v>219.113</v>
      </c>
      <c r="F45" s="906"/>
    </row>
    <row r="46" spans="2:6" ht="15.75" thickBot="1">
      <c r="B46" s="947" t="s">
        <v>876</v>
      </c>
      <c r="C46" s="948" t="s">
        <v>877</v>
      </c>
      <c r="D46" s="949" t="s">
        <v>742</v>
      </c>
      <c r="E46" s="950"/>
      <c r="F46" s="928"/>
    </row>
    <row r="47" spans="2:6">
      <c r="B47" s="920" t="s">
        <v>878</v>
      </c>
      <c r="C47" s="921" t="s">
        <v>879</v>
      </c>
      <c r="D47" s="954" t="s">
        <v>742</v>
      </c>
      <c r="E47" s="934">
        <f>E32-E38</f>
        <v>0</v>
      </c>
      <c r="F47" s="944"/>
    </row>
    <row r="48" spans="2:6">
      <c r="B48" s="924" t="s">
        <v>880</v>
      </c>
      <c r="C48" s="925" t="s">
        <v>881</v>
      </c>
      <c r="D48" s="926" t="s">
        <v>742</v>
      </c>
      <c r="E48" s="983">
        <f>E47-E49</f>
        <v>-13.799999999999983</v>
      </c>
      <c r="F48" s="928"/>
    </row>
    <row r="49" spans="2:6">
      <c r="B49" s="924" t="s">
        <v>882</v>
      </c>
      <c r="C49" s="925" t="s">
        <v>883</v>
      </c>
      <c r="D49" s="926" t="s">
        <v>742</v>
      </c>
      <c r="E49" s="983">
        <f>E14-E40</f>
        <v>13.799999999999983</v>
      </c>
      <c r="F49" s="928"/>
    </row>
    <row r="50" spans="2:6" ht="15.75" thickBot="1">
      <c r="B50" s="929" t="s">
        <v>884</v>
      </c>
      <c r="C50" s="984" t="s">
        <v>885</v>
      </c>
      <c r="D50" s="931" t="s">
        <v>742</v>
      </c>
      <c r="E50" s="985"/>
      <c r="F50" s="928"/>
    </row>
    <row r="51" spans="2:6" ht="16.5" thickTop="1" thickBot="1">
      <c r="B51" s="907"/>
      <c r="C51" s="908" t="s">
        <v>886</v>
      </c>
      <c r="D51" s="909"/>
      <c r="E51" s="910"/>
      <c r="F51" s="928"/>
    </row>
    <row r="52" spans="2:6" ht="15.75" thickTop="1">
      <c r="B52" s="920" t="s">
        <v>887</v>
      </c>
      <c r="C52" s="986" t="s">
        <v>888</v>
      </c>
      <c r="D52" s="922" t="s">
        <v>742</v>
      </c>
      <c r="E52" s="934">
        <f>SUM(E53:E54)</f>
        <v>78.099999999999994</v>
      </c>
    </row>
    <row r="53" spans="2:6">
      <c r="B53" s="987" t="s">
        <v>889</v>
      </c>
      <c r="C53" s="988" t="s">
        <v>890</v>
      </c>
      <c r="D53" s="926" t="s">
        <v>742</v>
      </c>
      <c r="E53" s="989">
        <v>78.099999999999994</v>
      </c>
    </row>
    <row r="54" spans="2:6" ht="15.75" thickBot="1">
      <c r="B54" s="990" t="s">
        <v>891</v>
      </c>
      <c r="C54" s="991" t="s">
        <v>892</v>
      </c>
      <c r="D54" s="992" t="s">
        <v>742</v>
      </c>
      <c r="E54" s="993"/>
      <c r="F54" s="974"/>
    </row>
    <row r="55" spans="2:6" ht="15.75" thickBot="1">
      <c r="B55" s="947" t="s">
        <v>893</v>
      </c>
      <c r="C55" s="948" t="s">
        <v>894</v>
      </c>
      <c r="D55" s="949" t="s">
        <v>742</v>
      </c>
      <c r="E55" s="950">
        <v>78.099999999999994</v>
      </c>
    </row>
    <row r="56" spans="2:6">
      <c r="B56" s="920" t="s">
        <v>895</v>
      </c>
      <c r="C56" s="921" t="s">
        <v>896</v>
      </c>
      <c r="D56" s="922" t="s">
        <v>742</v>
      </c>
      <c r="E56" s="923"/>
    </row>
    <row r="57" spans="2:6">
      <c r="B57" s="980" t="s">
        <v>897</v>
      </c>
      <c r="C57" s="988" t="s">
        <v>890</v>
      </c>
      <c r="D57" s="926" t="s">
        <v>742</v>
      </c>
      <c r="E57" s="919"/>
    </row>
    <row r="58" spans="2:6" ht="15.75" thickBot="1">
      <c r="B58" s="980" t="s">
        <v>898</v>
      </c>
      <c r="C58" s="991" t="s">
        <v>892</v>
      </c>
      <c r="D58" s="992" t="s">
        <v>742</v>
      </c>
      <c r="E58" s="982"/>
    </row>
    <row r="59" spans="2:6" ht="15.75" thickBot="1">
      <c r="B59" s="994" t="s">
        <v>899</v>
      </c>
      <c r="C59" s="995" t="s">
        <v>900</v>
      </c>
      <c r="D59" s="996" t="s">
        <v>742</v>
      </c>
      <c r="E59" s="997">
        <f>E52-E56</f>
        <v>78.099999999999994</v>
      </c>
    </row>
    <row r="60" spans="2:6" ht="16.5" thickTop="1" thickBot="1">
      <c r="B60" s="907"/>
      <c r="C60" s="908" t="s">
        <v>901</v>
      </c>
      <c r="D60" s="909"/>
      <c r="E60" s="910"/>
    </row>
    <row r="61" spans="2:6" ht="16.5" thickTop="1" thickBot="1">
      <c r="B61" s="998" t="s">
        <v>902</v>
      </c>
      <c r="C61" s="999" t="s">
        <v>903</v>
      </c>
      <c r="D61" s="999" t="s">
        <v>904</v>
      </c>
      <c r="E61" s="1000">
        <f>IF(E11=0,0,E25/E11*100)</f>
        <v>41.600816784112752</v>
      </c>
    </row>
    <row r="62" spans="2:6" ht="15.75" thickBot="1">
      <c r="B62" s="1001" t="s">
        <v>905</v>
      </c>
      <c r="C62" s="1002" t="s">
        <v>906</v>
      </c>
      <c r="D62" s="1002" t="s">
        <v>904</v>
      </c>
      <c r="E62" s="1003">
        <f>IF(E11=0,0,E26/E11*100)</f>
        <v>2.5012011531069747</v>
      </c>
    </row>
    <row r="63" spans="2:6" ht="26.25" thickBot="1">
      <c r="B63" s="998" t="s">
        <v>907</v>
      </c>
      <c r="C63" s="999" t="s">
        <v>908</v>
      </c>
      <c r="D63" s="999" t="s">
        <v>904</v>
      </c>
      <c r="E63" s="1000">
        <f>IF(E32=0,0,E47/E32*100)</f>
        <v>0</v>
      </c>
    </row>
    <row r="64" spans="2:6" ht="26.25" thickBot="1">
      <c r="B64" s="1004" t="s">
        <v>909</v>
      </c>
      <c r="C64" s="1005" t="s">
        <v>910</v>
      </c>
      <c r="D64" s="1005" t="s">
        <v>904</v>
      </c>
      <c r="E64" s="1006">
        <f>IF(E52=0,0,E59/E52*100)</f>
        <v>100</v>
      </c>
    </row>
    <row r="65" spans="2:6" ht="16.5" thickTop="1" thickBot="1">
      <c r="B65" s="907"/>
      <c r="C65" s="908" t="s">
        <v>911</v>
      </c>
      <c r="D65" s="909"/>
      <c r="E65" s="910"/>
    </row>
    <row r="66" spans="2:6" ht="16.5" thickTop="1" thickBot="1">
      <c r="B66" s="916" t="s">
        <v>912</v>
      </c>
      <c r="C66" s="918" t="s">
        <v>913</v>
      </c>
      <c r="D66" s="992" t="s">
        <v>775</v>
      </c>
      <c r="E66" s="1007">
        <v>32546</v>
      </c>
    </row>
    <row r="67" spans="2:6" ht="15.75" thickBot="1">
      <c r="B67" s="947" t="s">
        <v>914</v>
      </c>
      <c r="C67" s="949" t="s">
        <v>915</v>
      </c>
      <c r="D67" s="1008" t="s">
        <v>916</v>
      </c>
      <c r="E67" s="1009">
        <v>13733</v>
      </c>
    </row>
    <row r="68" spans="2:6">
      <c r="B68" s="920" t="s">
        <v>917</v>
      </c>
      <c r="C68" s="922" t="s">
        <v>918</v>
      </c>
      <c r="D68" s="933" t="s">
        <v>916</v>
      </c>
      <c r="E68" s="1010">
        <f>E69+E72+E73+E74+E75</f>
        <v>8535</v>
      </c>
    </row>
    <row r="69" spans="2:6">
      <c r="B69" s="980" t="s">
        <v>919</v>
      </c>
      <c r="C69" s="926" t="s">
        <v>920</v>
      </c>
      <c r="D69" s="926" t="s">
        <v>916</v>
      </c>
      <c r="E69" s="1011">
        <f>SUM(E70:E71)</f>
        <v>6602</v>
      </c>
    </row>
    <row r="70" spans="2:6">
      <c r="B70" s="941" t="s">
        <v>921</v>
      </c>
      <c r="C70" s="1012" t="s">
        <v>922</v>
      </c>
      <c r="D70" s="943" t="s">
        <v>916</v>
      </c>
      <c r="E70" s="1013">
        <v>4492</v>
      </c>
    </row>
    <row r="71" spans="2:6">
      <c r="B71" s="941" t="s">
        <v>923</v>
      </c>
      <c r="C71" s="1012" t="s">
        <v>924</v>
      </c>
      <c r="D71" s="943" t="s">
        <v>916</v>
      </c>
      <c r="E71" s="1013">
        <v>2110</v>
      </c>
    </row>
    <row r="72" spans="2:6">
      <c r="B72" s="924" t="s">
        <v>925</v>
      </c>
      <c r="C72" s="926" t="s">
        <v>926</v>
      </c>
      <c r="D72" s="926" t="s">
        <v>916</v>
      </c>
      <c r="E72" s="1014">
        <v>102</v>
      </c>
      <c r="F72" s="1015"/>
    </row>
    <row r="73" spans="2:6">
      <c r="B73" s="924" t="s">
        <v>927</v>
      </c>
      <c r="C73" s="926" t="s">
        <v>928</v>
      </c>
      <c r="D73" s="926" t="s">
        <v>916</v>
      </c>
      <c r="E73" s="1014">
        <v>38</v>
      </c>
      <c r="F73" s="1015"/>
    </row>
    <row r="74" spans="2:6">
      <c r="B74" s="990" t="s">
        <v>929</v>
      </c>
      <c r="C74" s="1016" t="s">
        <v>930</v>
      </c>
      <c r="D74" s="1017" t="s">
        <v>916</v>
      </c>
      <c r="E74" s="1018">
        <v>1793</v>
      </c>
      <c r="F74" s="1015"/>
    </row>
    <row r="75" spans="2:6" ht="15.75" thickBot="1">
      <c r="B75" s="1019" t="s">
        <v>931</v>
      </c>
      <c r="C75" s="1020" t="s">
        <v>932</v>
      </c>
      <c r="D75" s="1021" t="s">
        <v>916</v>
      </c>
      <c r="E75" s="1022"/>
      <c r="F75" s="1015"/>
    </row>
    <row r="76" spans="2:6">
      <c r="B76" s="920" t="s">
        <v>933</v>
      </c>
      <c r="C76" s="922" t="s">
        <v>934</v>
      </c>
      <c r="D76" s="933" t="s">
        <v>916</v>
      </c>
      <c r="E76" s="1023">
        <f>SUM(E77:E79)</f>
        <v>246</v>
      </c>
    </row>
    <row r="77" spans="2:6">
      <c r="B77" s="924" t="s">
        <v>935</v>
      </c>
      <c r="C77" s="926" t="s">
        <v>936</v>
      </c>
      <c r="D77" s="926" t="s">
        <v>916</v>
      </c>
      <c r="E77" s="1014">
        <v>203</v>
      </c>
    </row>
    <row r="78" spans="2:6">
      <c r="B78" s="980" t="s">
        <v>937</v>
      </c>
      <c r="C78" s="992" t="s">
        <v>938</v>
      </c>
      <c r="D78" s="992" t="s">
        <v>916</v>
      </c>
      <c r="E78" s="1007">
        <v>41</v>
      </c>
    </row>
    <row r="79" spans="2:6" ht="15.75" thickBot="1">
      <c r="B79" s="924" t="s">
        <v>939</v>
      </c>
      <c r="C79" s="926" t="s">
        <v>940</v>
      </c>
      <c r="D79" s="926" t="s">
        <v>916</v>
      </c>
      <c r="E79" s="1014">
        <v>2</v>
      </c>
    </row>
    <row r="80" spans="2:6">
      <c r="B80" s="920" t="s">
        <v>941</v>
      </c>
      <c r="C80" s="922" t="s">
        <v>942</v>
      </c>
      <c r="D80" s="1024" t="s">
        <v>916</v>
      </c>
      <c r="E80" s="1025">
        <f>SUM(E81:E83)</f>
        <v>6988</v>
      </c>
    </row>
    <row r="81" spans="2:5">
      <c r="B81" s="987" t="s">
        <v>943</v>
      </c>
      <c r="C81" s="1026" t="s">
        <v>944</v>
      </c>
      <c r="D81" s="1026" t="s">
        <v>916</v>
      </c>
      <c r="E81" s="1027">
        <v>6805</v>
      </c>
    </row>
    <row r="82" spans="2:5">
      <c r="B82" s="980" t="s">
        <v>945</v>
      </c>
      <c r="C82" s="992" t="s">
        <v>946</v>
      </c>
      <c r="D82" s="992" t="s">
        <v>916</v>
      </c>
      <c r="E82" s="1007">
        <v>143</v>
      </c>
    </row>
    <row r="83" spans="2:5" ht="15.75" thickBot="1">
      <c r="B83" s="1019" t="s">
        <v>947</v>
      </c>
      <c r="C83" s="1021" t="s">
        <v>948</v>
      </c>
      <c r="D83" s="1021" t="s">
        <v>916</v>
      </c>
      <c r="E83" s="1022">
        <v>40</v>
      </c>
    </row>
  </sheetData>
  <sheetProtection password="F757"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3" stopIfTrue="1">
      <formula>J19&gt;0</formula>
    </cfRule>
    <cfRule type="expression" dxfId="9" priority="5" stopIfTrue="1">
      <formula>J19&lt;0</formula>
    </cfRule>
  </conditionalFormatting>
  <conditionalFormatting sqref="F41 F19">
    <cfRule type="cellIs" dxfId="8" priority="7" stopIfTrue="1" operator="greaterThan">
      <formula>0</formula>
    </cfRule>
    <cfRule type="cellIs" dxfId="7" priority="9" stopIfTrue="1" operator="lessThan">
      <formula>0</formula>
    </cfRule>
  </conditionalFormatting>
  <pageMargins left="0.70866141732283472" right="0.70866141732283472" top="0.35433070866141736" bottom="0.35433070866141736" header="0.31496062992125984" footer="0.31496062992125984"/>
  <pageSetup paperSize="8"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9'!VAS078_D_Vandentiekiopr1</vt:lpstr>
      <vt:lpstr>VAS078_D_Vandentiekiopr1</vt:lpstr>
      <vt:lpstr>'Forma 9'!VAS078_D_Vandentiekiusk1</vt:lpstr>
      <vt:lpstr>VAS078_D_Vandentiekiusk1</vt:lpstr>
      <vt:lpstr>'Forma 9'!VAS078_D_Vandentiekyjel1</vt:lpstr>
      <vt:lpstr>VAS078_D_Vandentiekyjel1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9'!VAS078_F_Vandentiekyjel1AtaskaitinisLaikotarpis</vt:lpstr>
      <vt:lpstr>VAS078_F_Vandentiekyjel1AtaskaitinisLaikotarpis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Seven</cp:lastModifiedBy>
  <cp:lastPrinted>2020-07-07T15:12:37Z</cp:lastPrinted>
  <dcterms:created xsi:type="dcterms:W3CDTF">2020-04-30T21:42:13Z</dcterms:created>
  <dcterms:modified xsi:type="dcterms:W3CDTF">2020-07-07T15:14:46Z</dcterms:modified>
</cp:coreProperties>
</file>